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0320" windowHeight="7350"/>
  </bookViews>
  <sheets>
    <sheet name="штатка2021 " sheetId="27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U86" i="27" l="1"/>
  <c r="T86" i="27"/>
  <c r="S80" i="27"/>
  <c r="O79" i="27"/>
  <c r="I79" i="27"/>
  <c r="M79" i="27" s="1"/>
  <c r="O78" i="27"/>
  <c r="M78" i="27"/>
  <c r="K78" i="27"/>
  <c r="I78" i="27"/>
  <c r="P78" i="27" s="1"/>
  <c r="Q78" i="27" s="1"/>
  <c r="O77" i="27"/>
  <c r="I77" i="27"/>
  <c r="M77" i="27" s="1"/>
  <c r="O76" i="27"/>
  <c r="M76" i="27"/>
  <c r="K76" i="27"/>
  <c r="I76" i="27"/>
  <c r="P76" i="27" s="1"/>
  <c r="Q76" i="27" s="1"/>
  <c r="O75" i="27"/>
  <c r="I75" i="27"/>
  <c r="M75" i="27" s="1"/>
  <c r="O74" i="27"/>
  <c r="M74" i="27"/>
  <c r="K74" i="27"/>
  <c r="I74" i="27"/>
  <c r="P74" i="27" s="1"/>
  <c r="Q74" i="27" s="1"/>
  <c r="O73" i="27"/>
  <c r="I73" i="27"/>
  <c r="M73" i="27" s="1"/>
  <c r="O72" i="27"/>
  <c r="M72" i="27"/>
  <c r="K72" i="27"/>
  <c r="I72" i="27"/>
  <c r="P72" i="27" s="1"/>
  <c r="Q72" i="27" s="1"/>
  <c r="O71" i="27"/>
  <c r="I71" i="27"/>
  <c r="M71" i="27" s="1"/>
  <c r="O70" i="27"/>
  <c r="M70" i="27"/>
  <c r="K70" i="27"/>
  <c r="I70" i="27"/>
  <c r="P70" i="27" s="1"/>
  <c r="Q70" i="27" s="1"/>
  <c r="O69" i="27"/>
  <c r="I69" i="27"/>
  <c r="M69" i="27" s="1"/>
  <c r="O68" i="27"/>
  <c r="M68" i="27"/>
  <c r="K68" i="27"/>
  <c r="I68" i="27"/>
  <c r="P68" i="27" s="1"/>
  <c r="Q68" i="27" s="1"/>
  <c r="O67" i="27"/>
  <c r="I67" i="27"/>
  <c r="M67" i="27" s="1"/>
  <c r="O66" i="27"/>
  <c r="M66" i="27"/>
  <c r="K66" i="27"/>
  <c r="I66" i="27"/>
  <c r="P66" i="27" s="1"/>
  <c r="Q66" i="27" s="1"/>
  <c r="O65" i="27"/>
  <c r="I65" i="27"/>
  <c r="M65" i="27" s="1"/>
  <c r="O64" i="27"/>
  <c r="M64" i="27"/>
  <c r="K64" i="27"/>
  <c r="I64" i="27"/>
  <c r="P64" i="27" s="1"/>
  <c r="O63" i="27"/>
  <c r="O80" i="27" s="1"/>
  <c r="G63" i="27"/>
  <c r="I63" i="27" s="1"/>
  <c r="F63" i="27"/>
  <c r="F80" i="27" s="1"/>
  <c r="S61" i="27"/>
  <c r="F61" i="27"/>
  <c r="O60" i="27"/>
  <c r="M60" i="27"/>
  <c r="I60" i="27"/>
  <c r="K60" i="27" s="1"/>
  <c r="O59" i="27"/>
  <c r="M59" i="27"/>
  <c r="K59" i="27"/>
  <c r="I59" i="27"/>
  <c r="P59" i="27" s="1"/>
  <c r="O58" i="27"/>
  <c r="I58" i="27"/>
  <c r="M58" i="27" s="1"/>
  <c r="O57" i="27"/>
  <c r="M57" i="27"/>
  <c r="I57" i="27"/>
  <c r="K57" i="27" s="1"/>
  <c r="O56" i="27"/>
  <c r="I56" i="27"/>
  <c r="M56" i="27" s="1"/>
  <c r="O55" i="27"/>
  <c r="M55" i="27"/>
  <c r="I55" i="27"/>
  <c r="K55" i="27" s="1"/>
  <c r="O54" i="27"/>
  <c r="I54" i="27"/>
  <c r="M54" i="27" s="1"/>
  <c r="O53" i="27"/>
  <c r="M53" i="27"/>
  <c r="I53" i="27"/>
  <c r="K53" i="27" s="1"/>
  <c r="O52" i="27"/>
  <c r="M52" i="27"/>
  <c r="K52" i="27"/>
  <c r="I52" i="27"/>
  <c r="P52" i="27" s="1"/>
  <c r="O51" i="27"/>
  <c r="I51" i="27"/>
  <c r="M51" i="27" s="1"/>
  <c r="O50" i="27"/>
  <c r="M50" i="27"/>
  <c r="K50" i="27"/>
  <c r="I50" i="27"/>
  <c r="P50" i="27" s="1"/>
  <c r="Q50" i="27" s="1"/>
  <c r="O49" i="27"/>
  <c r="I49" i="27"/>
  <c r="M49" i="27" s="1"/>
  <c r="O48" i="27"/>
  <c r="M48" i="27"/>
  <c r="I48" i="27"/>
  <c r="K48" i="27" s="1"/>
  <c r="O47" i="27"/>
  <c r="I47" i="27"/>
  <c r="M47" i="27" s="1"/>
  <c r="O46" i="27"/>
  <c r="M46" i="27"/>
  <c r="I46" i="27"/>
  <c r="K46" i="27" s="1"/>
  <c r="O45" i="27"/>
  <c r="I45" i="27"/>
  <c r="M45" i="27" s="1"/>
  <c r="O44" i="27"/>
  <c r="M44" i="27"/>
  <c r="I44" i="27"/>
  <c r="K44" i="27" s="1"/>
  <c r="O43" i="27"/>
  <c r="I43" i="27"/>
  <c r="M43" i="27" s="1"/>
  <c r="O42" i="27"/>
  <c r="I42" i="27"/>
  <c r="M42" i="27" s="1"/>
  <c r="O41" i="27"/>
  <c r="M41" i="27"/>
  <c r="K41" i="27"/>
  <c r="I41" i="27"/>
  <c r="P41" i="27" s="1"/>
  <c r="Q41" i="27" s="1"/>
  <c r="O40" i="27"/>
  <c r="I40" i="27"/>
  <c r="M40" i="27" s="1"/>
  <c r="O39" i="27"/>
  <c r="M39" i="27"/>
  <c r="K39" i="27"/>
  <c r="I39" i="27"/>
  <c r="P39" i="27" s="1"/>
  <c r="Q39" i="27" s="1"/>
  <c r="O38" i="27"/>
  <c r="I38" i="27"/>
  <c r="M38" i="27" s="1"/>
  <c r="O28" i="27"/>
  <c r="M28" i="27"/>
  <c r="K28" i="27"/>
  <c r="I28" i="27"/>
  <c r="P28" i="27" s="1"/>
  <c r="Q28" i="27" s="1"/>
  <c r="S27" i="27"/>
  <c r="O27" i="27"/>
  <c r="O61" i="27" s="1"/>
  <c r="M27" i="27"/>
  <c r="I27" i="27"/>
  <c r="K27" i="27" s="1"/>
  <c r="O25" i="27"/>
  <c r="I25" i="27"/>
  <c r="M25" i="27" s="1"/>
  <c r="M61" i="27" s="1"/>
  <c r="B25" i="27"/>
  <c r="S23" i="27"/>
  <c r="O23" i="27"/>
  <c r="F23" i="27"/>
  <c r="F81" i="27" s="1"/>
  <c r="O22" i="27"/>
  <c r="M22" i="27"/>
  <c r="K22" i="27"/>
  <c r="I22" i="27"/>
  <c r="P22" i="27" s="1"/>
  <c r="Q22" i="27" s="1"/>
  <c r="O21" i="27"/>
  <c r="I21" i="27"/>
  <c r="O20" i="27"/>
  <c r="M20" i="27"/>
  <c r="K20" i="27"/>
  <c r="I20" i="27"/>
  <c r="P20" i="27" s="1"/>
  <c r="Q20" i="27" s="1"/>
  <c r="O19" i="27"/>
  <c r="I19" i="27"/>
  <c r="M19" i="27" s="1"/>
  <c r="O18" i="27"/>
  <c r="M18" i="27"/>
  <c r="K18" i="27" s="1"/>
  <c r="I18" i="27"/>
  <c r="O17" i="27"/>
  <c r="I17" i="27"/>
  <c r="T90" i="27" l="1"/>
  <c r="M80" i="27"/>
  <c r="P18" i="27"/>
  <c r="Q18" i="27" s="1"/>
  <c r="O81" i="27"/>
  <c r="R59" i="27"/>
  <c r="Q59" i="27"/>
  <c r="Q64" i="27"/>
  <c r="P89" i="27"/>
  <c r="R52" i="27"/>
  <c r="Q52" i="27"/>
  <c r="T93" i="27"/>
  <c r="M63" i="27"/>
  <c r="P63" i="27" s="1"/>
  <c r="Q63" i="27" s="1"/>
  <c r="K63" i="27"/>
  <c r="P54" i="27"/>
  <c r="Q54" i="27" s="1"/>
  <c r="K45" i="27"/>
  <c r="P45" i="27" s="1"/>
  <c r="Q45" i="27" s="1"/>
  <c r="K47" i="27"/>
  <c r="P47" i="27" s="1"/>
  <c r="Q47" i="27" s="1"/>
  <c r="K49" i="27"/>
  <c r="P49" i="27" s="1"/>
  <c r="K54" i="27"/>
  <c r="K56" i="27"/>
  <c r="P56" i="27" s="1"/>
  <c r="Q56" i="27" s="1"/>
  <c r="K58" i="27"/>
  <c r="P58" i="27" s="1"/>
  <c r="I61" i="27"/>
  <c r="M17" i="27"/>
  <c r="K19" i="27"/>
  <c r="P19" i="27" s="1"/>
  <c r="Q19" i="27" s="1"/>
  <c r="K21" i="27"/>
  <c r="I23" i="27"/>
  <c r="K25" i="27"/>
  <c r="P25" i="27" s="1"/>
  <c r="K43" i="27"/>
  <c r="P43" i="27" s="1"/>
  <c r="Q43" i="27" s="1"/>
  <c r="M21" i="27"/>
  <c r="P21" i="27" s="1"/>
  <c r="Q21" i="27" s="1"/>
  <c r="P27" i="27"/>
  <c r="Q27" i="27" s="1"/>
  <c r="K38" i="27"/>
  <c r="P38" i="27" s="1"/>
  <c r="Q38" i="27" s="1"/>
  <c r="K40" i="27"/>
  <c r="P40" i="27" s="1"/>
  <c r="Q40" i="27" s="1"/>
  <c r="K42" i="27"/>
  <c r="P42" i="27" s="1"/>
  <c r="P44" i="27"/>
  <c r="Q44" i="27" s="1"/>
  <c r="P46" i="27"/>
  <c r="Q46" i="27" s="1"/>
  <c r="P48" i="27"/>
  <c r="Q48" i="27" s="1"/>
  <c r="K51" i="27"/>
  <c r="P51" i="27" s="1"/>
  <c r="Q51" i="27" s="1"/>
  <c r="P53" i="27"/>
  <c r="Q53" i="27" s="1"/>
  <c r="P55" i="27"/>
  <c r="Q55" i="27" s="1"/>
  <c r="P57" i="27"/>
  <c r="Q57" i="27" s="1"/>
  <c r="P60" i="27"/>
  <c r="Q60" i="27" s="1"/>
  <c r="K65" i="27"/>
  <c r="P65" i="27" s="1"/>
  <c r="K67" i="27"/>
  <c r="P67" i="27" s="1"/>
  <c r="Q67" i="27" s="1"/>
  <c r="K69" i="27"/>
  <c r="P69" i="27" s="1"/>
  <c r="Q69" i="27" s="1"/>
  <c r="K71" i="27"/>
  <c r="P71" i="27" s="1"/>
  <c r="Q71" i="27" s="1"/>
  <c r="K73" i="27"/>
  <c r="P73" i="27" s="1"/>
  <c r="Q73" i="27" s="1"/>
  <c r="K75" i="27"/>
  <c r="P75" i="27" s="1"/>
  <c r="Q75" i="27" s="1"/>
  <c r="K77" i="27"/>
  <c r="P77" i="27" s="1"/>
  <c r="Q77" i="27" s="1"/>
  <c r="K79" i="27"/>
  <c r="P79" i="27" s="1"/>
  <c r="Q79" i="27" s="1"/>
  <c r="P61" i="27" l="1"/>
  <c r="Q25" i="27"/>
  <c r="Q65" i="27"/>
  <c r="P80" i="27"/>
  <c r="R49" i="27"/>
  <c r="Q49" i="27"/>
  <c r="R27" i="27" s="1"/>
  <c r="T27" i="27" s="1"/>
  <c r="R42" i="27"/>
  <c r="Q42" i="27"/>
  <c r="R58" i="27"/>
  <c r="Q58" i="27"/>
  <c r="P92" i="27"/>
  <c r="Q80" i="27"/>
  <c r="K61" i="27"/>
  <c r="M23" i="27"/>
  <c r="M81" i="27" s="1"/>
  <c r="K17" i="27"/>
  <c r="K23" i="27" s="1"/>
  <c r="P17" i="27" l="1"/>
  <c r="Q61" i="27"/>
  <c r="U80" i="27"/>
  <c r="T80" i="27"/>
  <c r="P87" i="27"/>
  <c r="R61" i="27"/>
  <c r="U61" i="27"/>
  <c r="Q93" i="27"/>
  <c r="T61" i="27"/>
  <c r="Q17" i="27" l="1"/>
  <c r="Q23" i="27" s="1"/>
  <c r="P23" i="27"/>
  <c r="R23" i="27" l="1"/>
  <c r="P81" i="27"/>
  <c r="U23" i="27"/>
  <c r="T23" i="27"/>
  <c r="Q81" i="27"/>
  <c r="R17" i="27"/>
  <c r="U90" i="27" l="1"/>
  <c r="U93" i="27" s="1"/>
  <c r="P82" i="27"/>
</calcChain>
</file>

<file path=xl/sharedStrings.xml><?xml version="1.0" encoding="utf-8"?>
<sst xmlns="http://schemas.openxmlformats.org/spreadsheetml/2006/main" count="129" uniqueCount="104">
  <si>
    <t>Блок</t>
  </si>
  <si>
    <t>Звено</t>
  </si>
  <si>
    <t>Ступень</t>
  </si>
  <si>
    <t>Сельские 25%</t>
  </si>
  <si>
    <t>За особые условия труда 10%</t>
  </si>
  <si>
    <t>%</t>
  </si>
  <si>
    <t>Сумма</t>
  </si>
  <si>
    <t>Заведующая</t>
  </si>
  <si>
    <t>А</t>
  </si>
  <si>
    <t>А1</t>
  </si>
  <si>
    <t>3-1</t>
  </si>
  <si>
    <t>Зам. Зав. по учебной работе</t>
  </si>
  <si>
    <t>Зам. зав. по хозяйственной работе</t>
  </si>
  <si>
    <t>А2</t>
  </si>
  <si>
    <t>Заведующий хозяйством</t>
  </si>
  <si>
    <t>Главный бухгалтер</t>
  </si>
  <si>
    <t>Каирбекова З.К.</t>
  </si>
  <si>
    <t>Бухгалтер</t>
  </si>
  <si>
    <t>С</t>
  </si>
  <si>
    <t>ИТОГО ПО АУП</t>
  </si>
  <si>
    <t>В</t>
  </si>
  <si>
    <t>Психолог</t>
  </si>
  <si>
    <t>Логопед</t>
  </si>
  <si>
    <t>Методист</t>
  </si>
  <si>
    <t>Методист по иновациям</t>
  </si>
  <si>
    <t>Врач</t>
  </si>
  <si>
    <t>Физио врач</t>
  </si>
  <si>
    <t>Медицинская сестра</t>
  </si>
  <si>
    <t>Диетсестра</t>
  </si>
  <si>
    <t>Мед. Сестра бассейна</t>
  </si>
  <si>
    <t>Мл.мед.персонал</t>
  </si>
  <si>
    <t>Библиотекарь</t>
  </si>
  <si>
    <t>Переводчик</t>
  </si>
  <si>
    <t>Иинструктор по плаванию</t>
  </si>
  <si>
    <t>Воспитатель спец.групп</t>
  </si>
  <si>
    <t>Воспитатель</t>
  </si>
  <si>
    <t>D</t>
  </si>
  <si>
    <t>Техник по ремонту мед.аппарата</t>
  </si>
  <si>
    <t>Спец. по обслуж.компьют.техн</t>
  </si>
  <si>
    <t>Ночной пом.воспитателя</t>
  </si>
  <si>
    <t>Пом.воспитателя спец.групп</t>
  </si>
  <si>
    <t>Пом.воспитателя</t>
  </si>
  <si>
    <t>Музыкальный руководитель</t>
  </si>
  <si>
    <t>Шеф-повар</t>
  </si>
  <si>
    <t>повар</t>
  </si>
  <si>
    <t>Подсобный рабочий</t>
  </si>
  <si>
    <t>Кладовщик</t>
  </si>
  <si>
    <t>Кастелянша</t>
  </si>
  <si>
    <t>Швея</t>
  </si>
  <si>
    <t>Оператор стиральных машин</t>
  </si>
  <si>
    <t>Оператор хлораторной установки</t>
  </si>
  <si>
    <t>Дежурный рабочий котельной</t>
  </si>
  <si>
    <t>Уборщик служебных помещений</t>
  </si>
  <si>
    <t>Рабочий по обслуживанию здания</t>
  </si>
  <si>
    <t>Слесарь-сантехник</t>
  </si>
  <si>
    <t>Плотник</t>
  </si>
  <si>
    <t>Электромонтер</t>
  </si>
  <si>
    <t>сторож</t>
  </si>
  <si>
    <t>Дворник</t>
  </si>
  <si>
    <t>ИТОГО ПО МОП</t>
  </si>
  <si>
    <t>(подпись)</t>
  </si>
  <si>
    <t>Утверждаю:</t>
  </si>
  <si>
    <t xml:space="preserve">    </t>
  </si>
  <si>
    <t xml:space="preserve"> (подпись) </t>
  </si>
  <si>
    <t>(сумма  заработной платы прописью)</t>
  </si>
  <si>
    <t xml:space="preserve"> ГККП Ясли-сад № _7 г.ПАВЛОДАРА</t>
  </si>
  <si>
    <t>(наименование учреждения)</t>
  </si>
  <si>
    <t>САД</t>
  </si>
  <si>
    <t>Наименование</t>
  </si>
  <si>
    <t>Кол-во штатных ед.</t>
  </si>
  <si>
    <t>Коэф.</t>
  </si>
  <si>
    <t>БДО (17697,00 тенге)</t>
  </si>
  <si>
    <t>Должностной оклад (в тенге)</t>
  </si>
  <si>
    <t xml:space="preserve">Доплаты и надбавки </t>
  </si>
  <si>
    <t>Месячный фонд заработной платы                 (в тенге)</t>
  </si>
  <si>
    <t>Годовой ФЗП                 (в тенге)</t>
  </si>
  <si>
    <t xml:space="preserve">Сумма </t>
  </si>
  <si>
    <t>АДМИНИСТРАТИВНО - УПРАВЛЕНЧЕСКИЙ ПЕРСОНАЛ</t>
  </si>
  <si>
    <t>ОСНОВНОЙ ПЕРСОНАЛ</t>
  </si>
  <si>
    <t>2</t>
  </si>
  <si>
    <t>3-4</t>
  </si>
  <si>
    <t>Старший вожатый</t>
  </si>
  <si>
    <t>1</t>
  </si>
  <si>
    <t>3</t>
  </si>
  <si>
    <t>ИТОГО ПО УВП:</t>
  </si>
  <si>
    <t>МЛАДШИЙ ОБСЛУЖИВАЮЩИЙ ПЕРСОНАЛ</t>
  </si>
  <si>
    <t>Водитель</t>
  </si>
  <si>
    <t>ВСЕГО:</t>
  </si>
  <si>
    <t>Контроль</t>
  </si>
  <si>
    <t>Ставки с расчётов</t>
  </si>
  <si>
    <t>Начислено с расчётов</t>
  </si>
  <si>
    <t>(расшифровка подписи)</t>
  </si>
  <si>
    <t>Ставки со штатки</t>
  </si>
  <si>
    <t>Начислено со штатки</t>
  </si>
  <si>
    <t>Разница</t>
  </si>
  <si>
    <t>Между расчётами и штаткой</t>
  </si>
  <si>
    <t>Инструктор по физ.культуре</t>
  </si>
  <si>
    <t>на13 групп</t>
  </si>
  <si>
    <t>ШТАТНОЕ РАСПИСАНИЕ на 01.01.2021г</t>
  </si>
  <si>
    <t>Делопроизводитель</t>
  </si>
  <si>
    <t>штат в количестве 84,229единиц</t>
  </si>
  <si>
    <t xml:space="preserve"> (Семь миллионов триста пятьдесят  тысяч  шестьсот двадцать  ) тенге45 тиын. </t>
  </si>
  <si>
    <t xml:space="preserve">И.о.руководителя_________________Кузкенова А.А.   </t>
  </si>
  <si>
    <r>
      <t>с месячным фондом заработной платы: 7 350 620тенге 45</t>
    </r>
    <r>
      <rPr>
        <b/>
        <i/>
        <u/>
        <sz val="12"/>
        <rFont val="Times New Roman"/>
        <family val="1"/>
        <charset val="204"/>
      </rPr>
      <t>тиын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</si>
</sst>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0.000"/>
    <numFmt numFmtId="167" formatCode="0.0"/>
    <numFmt numFmtId="168" formatCode="_-* #,##0.0_р_._-;\-* #,##0.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9"/>
      <color indexed="4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i/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0" fontId="3" fillId="0" borderId="0" xfId="0" applyFont="1" applyFill="1"/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 applyProtection="1">
      <alignment horizontal="center"/>
      <protection locked="0"/>
    </xf>
    <xf numFmtId="0" fontId="11" fillId="0" borderId="27" xfId="0" applyFont="1" applyFill="1" applyBorder="1" applyAlignment="1">
      <alignment horizontal="center"/>
    </xf>
    <xf numFmtId="0" fontId="11" fillId="0" borderId="25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6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1" fillId="0" borderId="30" xfId="0" applyFont="1" applyFill="1" applyBorder="1" applyAlignment="1" applyProtection="1">
      <alignment horizontal="center"/>
    </xf>
    <xf numFmtId="2" fontId="13" fillId="0" borderId="32" xfId="0" applyNumberFormat="1" applyFont="1" applyFill="1" applyBorder="1" applyAlignment="1" applyProtection="1">
      <alignment horizontal="center"/>
    </xf>
    <xf numFmtId="0" fontId="12" fillId="5" borderId="9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5" fillId="0" borderId="0" xfId="0" applyFont="1" applyFill="1" applyAlignment="1">
      <alignment horizont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 applyProtection="1">
      <alignment horizontal="center"/>
      <protection locked="0"/>
    </xf>
    <xf numFmtId="2" fontId="11" fillId="0" borderId="33" xfId="0" applyNumberFormat="1" applyFont="1" applyFill="1" applyBorder="1" applyAlignment="1" applyProtection="1">
      <alignment horizontal="center"/>
    </xf>
    <xf numFmtId="2" fontId="11" fillId="0" borderId="8" xfId="0" applyNumberFormat="1" applyFont="1" applyFill="1" applyBorder="1" applyAlignment="1" applyProtection="1">
      <alignment horizontal="center"/>
    </xf>
    <xf numFmtId="2" fontId="11" fillId="0" borderId="7" xfId="0" applyNumberFormat="1" applyFont="1" applyFill="1" applyBorder="1" applyAlignment="1" applyProtection="1">
      <alignment horizontal="center"/>
    </xf>
    <xf numFmtId="2" fontId="11" fillId="0" borderId="9" xfId="0" applyNumberFormat="1" applyFont="1" applyFill="1" applyBorder="1" applyAlignment="1" applyProtection="1">
      <alignment horizontal="center"/>
    </xf>
    <xf numFmtId="2" fontId="11" fillId="0" borderId="35" xfId="0" applyNumberFormat="1" applyFont="1" applyFill="1" applyBorder="1" applyAlignment="1" applyProtection="1">
      <alignment horizontal="center"/>
    </xf>
    <xf numFmtId="2" fontId="11" fillId="0" borderId="36" xfId="0" applyNumberFormat="1" applyFont="1" applyFill="1" applyBorder="1" applyAlignment="1" applyProtection="1">
      <alignment horizontal="center"/>
    </xf>
    <xf numFmtId="2" fontId="13" fillId="2" borderId="33" xfId="0" applyNumberFormat="1" applyFont="1" applyFill="1" applyBorder="1" applyAlignment="1" applyProtection="1">
      <alignment horizontal="center"/>
    </xf>
    <xf numFmtId="0" fontId="3" fillId="5" borderId="41" xfId="0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Protection="1"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0" fontId="16" fillId="0" borderId="33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49" fontId="16" fillId="0" borderId="8" xfId="0" applyNumberFormat="1" applyFont="1" applyFill="1" applyBorder="1" applyAlignment="1">
      <alignment vertical="center" wrapText="1"/>
    </xf>
    <xf numFmtId="2" fontId="11" fillId="0" borderId="33" xfId="0" applyNumberFormat="1" applyFont="1" applyFill="1" applyBorder="1" applyAlignment="1">
      <alignment horizontal="center"/>
    </xf>
    <xf numFmtId="2" fontId="11" fillId="0" borderId="3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13" fillId="2" borderId="8" xfId="0" applyNumberFormat="1" applyFont="1" applyFill="1" applyBorder="1" applyAlignment="1" applyProtection="1">
      <alignment horizontal="center"/>
    </xf>
    <xf numFmtId="9" fontId="3" fillId="2" borderId="7" xfId="0" applyNumberFormat="1" applyFont="1" applyFill="1" applyBorder="1" applyAlignment="1" applyProtection="1">
      <alignment horizontal="center"/>
      <protection locked="0"/>
    </xf>
    <xf numFmtId="2" fontId="10" fillId="2" borderId="9" xfId="0" applyNumberFormat="1" applyFont="1" applyFill="1" applyBorder="1" applyAlignment="1" applyProtection="1">
      <alignment horizontal="center"/>
      <protection locked="0"/>
    </xf>
    <xf numFmtId="9" fontId="3" fillId="2" borderId="35" xfId="0" applyNumberFormat="1" applyFont="1" applyFill="1" applyBorder="1" applyAlignment="1" applyProtection="1">
      <alignment horizontal="center"/>
      <protection locked="0"/>
    </xf>
    <xf numFmtId="2" fontId="10" fillId="2" borderId="36" xfId="0" applyNumberFormat="1" applyFont="1" applyFill="1" applyBorder="1" applyAlignment="1" applyProtection="1">
      <alignment horizontal="center"/>
    </xf>
    <xf numFmtId="9" fontId="3" fillId="2" borderId="8" xfId="0" applyNumberFormat="1" applyFont="1" applyFill="1" applyBorder="1" applyAlignment="1" applyProtection="1">
      <alignment horizontal="center"/>
      <protection locked="0"/>
    </xf>
    <xf numFmtId="164" fontId="14" fillId="3" borderId="33" xfId="0" applyNumberFormat="1" applyFont="1" applyFill="1" applyBorder="1" applyAlignment="1" applyProtection="1">
      <alignment horizontal="center"/>
    </xf>
    <xf numFmtId="2" fontId="11" fillId="2" borderId="34" xfId="0" applyNumberFormat="1" applyFont="1" applyFill="1" applyBorder="1" applyAlignment="1" applyProtection="1">
      <alignment horizontal="center"/>
    </xf>
    <xf numFmtId="2" fontId="3" fillId="2" borderId="33" xfId="0" applyNumberFormat="1" applyFont="1" applyFill="1" applyBorder="1" applyAlignment="1" applyProtection="1">
      <alignment horizontal="center"/>
      <protection locked="0"/>
    </xf>
    <xf numFmtId="2" fontId="3" fillId="2" borderId="34" xfId="0" applyNumberFormat="1" applyFont="1" applyFill="1" applyBorder="1" applyAlignment="1" applyProtection="1">
      <alignment horizontal="center"/>
      <protection locked="0"/>
    </xf>
    <xf numFmtId="164" fontId="14" fillId="3" borderId="4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15" fillId="0" borderId="0" xfId="0" applyFont="1" applyFill="1"/>
    <xf numFmtId="0" fontId="22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0" fontId="8" fillId="0" borderId="23" xfId="0" applyFont="1" applyFill="1" applyBorder="1" applyProtection="1">
      <protection locked="0"/>
    </xf>
    <xf numFmtId="0" fontId="11" fillId="0" borderId="23" xfId="0" applyFont="1" applyFill="1" applyBorder="1" applyAlignment="1" applyProtection="1">
      <alignment horizontal="center"/>
    </xf>
    <xf numFmtId="0" fontId="4" fillId="0" borderId="31" xfId="0" applyFont="1" applyFill="1" applyBorder="1" applyAlignment="1" applyProtection="1">
      <alignment horizont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 applyProtection="1">
      <alignment horizontal="center"/>
      <protection locked="0"/>
    </xf>
    <xf numFmtId="167" fontId="4" fillId="0" borderId="33" xfId="0" applyNumberFormat="1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2" fontId="24" fillId="0" borderId="33" xfId="0" applyNumberFormat="1" applyFont="1" applyFill="1" applyBorder="1" applyAlignment="1" applyProtection="1">
      <alignment horizontal="center"/>
    </xf>
    <xf numFmtId="2" fontId="24" fillId="0" borderId="8" xfId="0" applyNumberFormat="1" applyFont="1" applyFill="1" applyBorder="1" applyAlignment="1" applyProtection="1">
      <alignment horizontal="center"/>
    </xf>
    <xf numFmtId="9" fontId="4" fillId="0" borderId="7" xfId="0" applyNumberFormat="1" applyFont="1" applyFill="1" applyBorder="1" applyAlignment="1" applyProtection="1">
      <alignment horizontal="center"/>
      <protection locked="0"/>
    </xf>
    <xf numFmtId="2" fontId="8" fillId="0" borderId="9" xfId="0" applyNumberFormat="1" applyFont="1" applyFill="1" applyBorder="1" applyAlignment="1" applyProtection="1">
      <alignment horizontal="center"/>
      <protection locked="0"/>
    </xf>
    <xf numFmtId="9" fontId="4" fillId="0" borderId="35" xfId="0" applyNumberFormat="1" applyFont="1" applyFill="1" applyBorder="1" applyAlignment="1" applyProtection="1">
      <alignment horizontal="center"/>
      <protection locked="0"/>
    </xf>
    <xf numFmtId="2" fontId="8" fillId="0" borderId="36" xfId="0" applyNumberFormat="1" applyFont="1" applyFill="1" applyBorder="1" applyAlignment="1" applyProtection="1">
      <alignment horizontal="center"/>
    </xf>
    <xf numFmtId="9" fontId="4" fillId="0" borderId="8" xfId="0" applyNumberFormat="1" applyFont="1" applyFill="1" applyBorder="1" applyAlignment="1" applyProtection="1">
      <alignment horizontal="center"/>
      <protection locked="0"/>
    </xf>
    <xf numFmtId="2" fontId="24" fillId="0" borderId="32" xfId="0" applyNumberFormat="1" applyFont="1" applyFill="1" applyBorder="1" applyAlignment="1" applyProtection="1">
      <alignment horizont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/>
      <protection locked="0"/>
    </xf>
    <xf numFmtId="2" fontId="4" fillId="2" borderId="3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9" fontId="24" fillId="0" borderId="8" xfId="0" applyNumberFormat="1" applyFont="1" applyFill="1" applyBorder="1" applyAlignment="1" applyProtection="1">
      <alignment horizontal="center"/>
      <protection locked="0"/>
    </xf>
    <xf numFmtId="2" fontId="4" fillId="0" borderId="33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Protection="1">
      <protection locked="0"/>
    </xf>
    <xf numFmtId="0" fontId="4" fillId="0" borderId="3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23" fillId="2" borderId="38" xfId="0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 applyProtection="1">
      <alignment horizontal="center"/>
      <protection locked="0"/>
    </xf>
    <xf numFmtId="164" fontId="14" fillId="3" borderId="34" xfId="0" applyNumberFormat="1" applyFont="1" applyFill="1" applyBorder="1" applyAlignment="1" applyProtection="1">
      <alignment horizontal="center"/>
    </xf>
    <xf numFmtId="164" fontId="14" fillId="3" borderId="8" xfId="0" applyNumberFormat="1" applyFont="1" applyFill="1" applyBorder="1" applyAlignment="1" applyProtection="1">
      <alignment horizontal="center"/>
    </xf>
    <xf numFmtId="164" fontId="14" fillId="3" borderId="7" xfId="0" applyNumberFormat="1" applyFont="1" applyFill="1" applyBorder="1" applyAlignment="1" applyProtection="1">
      <alignment horizontal="center"/>
    </xf>
    <xf numFmtId="164" fontId="14" fillId="3" borderId="9" xfId="0" applyNumberFormat="1" applyFont="1" applyFill="1" applyBorder="1" applyAlignment="1" applyProtection="1">
      <alignment horizontal="center"/>
    </xf>
    <xf numFmtId="164" fontId="14" fillId="3" borderId="35" xfId="0" applyNumberFormat="1" applyFont="1" applyFill="1" applyBorder="1" applyAlignment="1" applyProtection="1">
      <alignment horizontal="center"/>
    </xf>
    <xf numFmtId="164" fontId="14" fillId="3" borderId="36" xfId="0" applyNumberFormat="1" applyFont="1" applyFill="1" applyBorder="1" applyAlignment="1" applyProtection="1">
      <alignment horizontal="center"/>
    </xf>
    <xf numFmtId="10" fontId="14" fillId="3" borderId="8" xfId="0" applyNumberFormat="1" applyFont="1" applyFill="1" applyBorder="1" applyAlignment="1" applyProtection="1">
      <alignment horizontal="center"/>
    </xf>
    <xf numFmtId="164" fontId="14" fillId="3" borderId="32" xfId="0" applyNumberFormat="1" applyFont="1" applyFill="1" applyBorder="1" applyAlignment="1" applyProtection="1">
      <alignment horizontal="center"/>
    </xf>
    <xf numFmtId="0" fontId="8" fillId="0" borderId="40" xfId="0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center"/>
    </xf>
    <xf numFmtId="0" fontId="4" fillId="2" borderId="3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2" borderId="4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167" fontId="4" fillId="2" borderId="33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0" fontId="8" fillId="0" borderId="42" xfId="0" applyFont="1" applyFill="1" applyBorder="1" applyProtection="1">
      <protection locked="0"/>
    </xf>
    <xf numFmtId="0" fontId="14" fillId="3" borderId="9" xfId="0" applyFont="1" applyFill="1" applyBorder="1" applyAlignment="1" applyProtection="1">
      <alignment horizontal="center"/>
      <protection locked="0"/>
    </xf>
    <xf numFmtId="164" fontId="14" fillId="3" borderId="33" xfId="0" applyNumberFormat="1" applyFont="1" applyFill="1" applyBorder="1" applyAlignment="1">
      <alignment horizontal="center"/>
    </xf>
    <xf numFmtId="164" fontId="14" fillId="3" borderId="34" xfId="0" applyNumberFormat="1" applyFont="1" applyFill="1" applyBorder="1" applyAlignment="1">
      <alignment horizontal="center"/>
    </xf>
    <xf numFmtId="0" fontId="8" fillId="0" borderId="29" xfId="0" applyFont="1" applyFill="1" applyBorder="1" applyProtection="1">
      <protection locked="0"/>
    </xf>
    <xf numFmtId="0" fontId="4" fillId="0" borderId="31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7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>
      <alignment vertical="center" wrapText="1"/>
    </xf>
    <xf numFmtId="49" fontId="4" fillId="0" borderId="41" xfId="0" applyNumberFormat="1" applyFont="1" applyFill="1" applyBorder="1" applyAlignment="1">
      <alignment vertical="center" wrapText="1"/>
    </xf>
    <xf numFmtId="9" fontId="25" fillId="0" borderId="8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protection locked="0"/>
    </xf>
    <xf numFmtId="0" fontId="23" fillId="0" borderId="32" xfId="0" applyFont="1" applyFill="1" applyBorder="1" applyAlignment="1">
      <alignment horizontal="left"/>
    </xf>
    <xf numFmtId="0" fontId="23" fillId="0" borderId="10" xfId="0" applyFont="1" applyFill="1" applyBorder="1" applyAlignment="1" applyProtection="1">
      <alignment horizontal="center"/>
      <protection locked="0"/>
    </xf>
    <xf numFmtId="0" fontId="4" fillId="0" borderId="44" xfId="0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center" vertical="center" wrapText="1"/>
    </xf>
    <xf numFmtId="49" fontId="14" fillId="3" borderId="37" xfId="0" applyNumberFormat="1" applyFont="1" applyFill="1" applyBorder="1" applyAlignment="1">
      <alignment horizontal="center" vertical="center" wrapText="1"/>
    </xf>
    <xf numFmtId="2" fontId="14" fillId="3" borderId="38" xfId="0" applyNumberFormat="1" applyFont="1" applyFill="1" applyBorder="1" applyAlignment="1" applyProtection="1">
      <alignment horizontal="center"/>
    </xf>
    <xf numFmtId="164" fontId="17" fillId="3" borderId="15" xfId="0" applyNumberFormat="1" applyFont="1" applyFill="1" applyBorder="1" applyAlignment="1">
      <alignment horizontal="center" vertical="center" wrapText="1"/>
    </xf>
    <xf numFmtId="164" fontId="14" fillId="3" borderId="37" xfId="0" applyNumberFormat="1" applyFont="1" applyFill="1" applyBorder="1" applyAlignment="1" applyProtection="1">
      <alignment horizontal="center" vertical="center" wrapText="1"/>
    </xf>
    <xf numFmtId="164" fontId="14" fillId="3" borderId="12" xfId="0" applyNumberFormat="1" applyFont="1" applyFill="1" applyBorder="1" applyAlignment="1" applyProtection="1">
      <alignment horizontal="center" vertical="center" wrapText="1"/>
    </xf>
    <xf numFmtId="164" fontId="14" fillId="3" borderId="38" xfId="0" applyNumberFormat="1" applyFont="1" applyFill="1" applyBorder="1" applyAlignment="1" applyProtection="1">
      <alignment horizontal="center" vertical="center" wrapText="1"/>
    </xf>
    <xf numFmtId="164" fontId="14" fillId="3" borderId="46" xfId="0" applyNumberFormat="1" applyFont="1" applyFill="1" applyBorder="1" applyAlignment="1" applyProtection="1">
      <alignment horizontal="center" vertical="center" wrapText="1"/>
    </xf>
    <xf numFmtId="10" fontId="14" fillId="3" borderId="37" xfId="0" applyNumberFormat="1" applyFont="1" applyFill="1" applyBorder="1" applyAlignment="1" applyProtection="1">
      <alignment horizontal="center"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left"/>
    </xf>
    <xf numFmtId="164" fontId="15" fillId="4" borderId="13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center"/>
    </xf>
    <xf numFmtId="164" fontId="15" fillId="4" borderId="4" xfId="0" applyNumberFormat="1" applyFont="1" applyFill="1" applyBorder="1" applyAlignment="1">
      <alignment horizontal="center"/>
    </xf>
    <xf numFmtId="10" fontId="15" fillId="4" borderId="4" xfId="0" applyNumberFormat="1" applyFont="1" applyFill="1" applyBorder="1" applyAlignment="1">
      <alignment horizontal="left"/>
    </xf>
    <xf numFmtId="164" fontId="15" fillId="4" borderId="3" xfId="0" applyNumberFormat="1" applyFont="1" applyFill="1" applyBorder="1" applyAlignment="1">
      <alignment horizontal="left"/>
    </xf>
    <xf numFmtId="164" fontId="15" fillId="4" borderId="4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8" fontId="19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0" fontId="4" fillId="0" borderId="0" xfId="0" applyFont="1" applyFill="1" applyBorder="1"/>
    <xf numFmtId="164" fontId="19" fillId="0" borderId="0" xfId="0" applyNumberFormat="1" applyFont="1" applyFill="1" applyAlignment="1">
      <alignment horizontal="right"/>
    </xf>
    <xf numFmtId="2" fontId="19" fillId="0" borderId="0" xfId="0" applyNumberFormat="1" applyFont="1" applyFill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right"/>
    </xf>
    <xf numFmtId="164" fontId="19" fillId="0" borderId="0" xfId="0" applyNumberFormat="1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0" fontId="19" fillId="2" borderId="32" xfId="0" applyFont="1" applyFill="1" applyBorder="1" applyAlignment="1">
      <alignment horizontal="left" vertical="center" wrapText="1"/>
    </xf>
    <xf numFmtId="166" fontId="4" fillId="0" borderId="33" xfId="0" applyNumberFormat="1" applyFont="1" applyFill="1" applyBorder="1" applyAlignment="1" applyProtection="1">
      <alignment horizontal="center"/>
      <protection locked="0"/>
    </xf>
    <xf numFmtId="165" fontId="15" fillId="4" borderId="6" xfId="0" applyNumberFormat="1" applyFont="1" applyFill="1" applyBorder="1" applyAlignment="1">
      <alignment horizontal="left"/>
    </xf>
    <xf numFmtId="165" fontId="14" fillId="3" borderId="33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43" fontId="19" fillId="0" borderId="0" xfId="0" applyNumberFormat="1" applyFont="1" applyFill="1" applyAlignment="1">
      <alignment horizontal="right"/>
    </xf>
    <xf numFmtId="0" fontId="20" fillId="0" borderId="0" xfId="0" applyFont="1" applyFill="1"/>
    <xf numFmtId="0" fontId="18" fillId="0" borderId="0" xfId="0" applyFont="1" applyFill="1" applyAlignment="1">
      <alignment vertical="center"/>
    </xf>
    <xf numFmtId="43" fontId="18" fillId="0" borderId="0" xfId="0" applyNumberFormat="1" applyFont="1" applyFill="1"/>
    <xf numFmtId="2" fontId="18" fillId="0" borderId="0" xfId="0" applyNumberFormat="1" applyFont="1" applyFill="1" applyBorder="1"/>
    <xf numFmtId="2" fontId="18" fillId="0" borderId="0" xfId="0" applyNumberFormat="1" applyFont="1" applyFill="1"/>
    <xf numFmtId="0" fontId="18" fillId="0" borderId="0" xfId="0" applyFont="1" applyFill="1" applyBorder="1"/>
    <xf numFmtId="164" fontId="21" fillId="0" borderId="0" xfId="0" applyNumberFormat="1" applyFont="1" applyFill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 applyProtection="1">
      <alignment horizontal="center"/>
      <protection locked="0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/>
    <xf numFmtId="0" fontId="19" fillId="0" borderId="0" xfId="0" applyFont="1" applyFill="1" applyBorder="1"/>
    <xf numFmtId="0" fontId="20" fillId="0" borderId="0" xfId="0" applyFont="1" applyFill="1" applyBorder="1"/>
    <xf numFmtId="0" fontId="2" fillId="0" borderId="0" xfId="0" applyFont="1" applyFill="1" applyBorder="1"/>
    <xf numFmtId="164" fontId="18" fillId="0" borderId="0" xfId="0" applyNumberFormat="1" applyFont="1" applyFill="1" applyBorder="1"/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wrapText="1"/>
    </xf>
    <xf numFmtId="164" fontId="21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34" xfId="0" applyNumberFormat="1" applyFont="1" applyFill="1" applyBorder="1" applyAlignment="1" applyProtection="1">
      <alignment horizontal="center" vertical="center"/>
      <protection locked="0"/>
    </xf>
    <xf numFmtId="2" fontId="24" fillId="2" borderId="33" xfId="0" applyNumberFormat="1" applyFont="1" applyFill="1" applyBorder="1" applyAlignment="1" applyProtection="1">
      <alignment horizontal="center"/>
    </xf>
    <xf numFmtId="0" fontId="4" fillId="2" borderId="34" xfId="0" applyFont="1" applyFill="1" applyBorder="1" applyAlignment="1" applyProtection="1">
      <alignment horizontal="center"/>
      <protection locked="0"/>
    </xf>
    <xf numFmtId="167" fontId="4" fillId="2" borderId="33" xfId="0" applyNumberFormat="1" applyFont="1" applyFill="1" applyBorder="1" applyAlignment="1" applyProtection="1">
      <alignment horizontal="center"/>
      <protection locked="0"/>
    </xf>
    <xf numFmtId="2" fontId="4" fillId="2" borderId="33" xfId="0" applyNumberFormat="1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/>
    </xf>
    <xf numFmtId="0" fontId="19" fillId="0" borderId="23" xfId="0" applyFont="1" applyFill="1" applyBorder="1" applyProtection="1">
      <protection locked="0"/>
    </xf>
    <xf numFmtId="0" fontId="19" fillId="0" borderId="8" xfId="0" applyFont="1" applyFill="1" applyBorder="1" applyAlignment="1">
      <alignment vertical="center" wrapText="1"/>
    </xf>
    <xf numFmtId="49" fontId="19" fillId="0" borderId="8" xfId="0" applyNumberFormat="1" applyFont="1" applyFill="1" applyBorder="1" applyAlignment="1">
      <alignment vertical="center" wrapText="1"/>
    </xf>
    <xf numFmtId="49" fontId="19" fillId="0" borderId="9" xfId="0" applyNumberFormat="1" applyFont="1" applyFill="1" applyBorder="1" applyAlignment="1" applyProtection="1">
      <alignment horizontal="center"/>
      <protection locked="0"/>
    </xf>
    <xf numFmtId="0" fontId="19" fillId="2" borderId="33" xfId="0" applyFont="1" applyFill="1" applyBorder="1" applyAlignment="1" applyProtection="1">
      <alignment horizontal="center"/>
      <protection locked="0"/>
    </xf>
    <xf numFmtId="2" fontId="19" fillId="2" borderId="34" xfId="0" applyNumberFormat="1" applyFont="1" applyFill="1" applyBorder="1" applyAlignment="1" applyProtection="1">
      <alignment horizontal="center"/>
      <protection locked="0"/>
    </xf>
    <xf numFmtId="2" fontId="19" fillId="0" borderId="33" xfId="0" applyNumberFormat="1" applyFont="1" applyFill="1" applyBorder="1" applyAlignment="1" applyProtection="1">
      <alignment horizontal="center"/>
    </xf>
    <xf numFmtId="2" fontId="19" fillId="0" borderId="8" xfId="0" applyNumberFormat="1" applyFont="1" applyFill="1" applyBorder="1" applyAlignment="1" applyProtection="1">
      <alignment horizontal="center"/>
    </xf>
    <xf numFmtId="9" fontId="19" fillId="0" borderId="7" xfId="0" applyNumberFormat="1" applyFont="1" applyFill="1" applyBorder="1" applyAlignment="1" applyProtection="1">
      <alignment horizontal="center"/>
      <protection locked="0"/>
    </xf>
    <xf numFmtId="2" fontId="19" fillId="0" borderId="9" xfId="0" applyNumberFormat="1" applyFont="1" applyFill="1" applyBorder="1" applyAlignment="1" applyProtection="1">
      <alignment horizontal="center"/>
      <protection locked="0"/>
    </xf>
    <xf numFmtId="9" fontId="19" fillId="0" borderId="35" xfId="0" applyNumberFormat="1" applyFont="1" applyFill="1" applyBorder="1" applyAlignment="1" applyProtection="1">
      <alignment horizontal="center"/>
      <protection locked="0"/>
    </xf>
    <xf numFmtId="2" fontId="19" fillId="0" borderId="36" xfId="0" applyNumberFormat="1" applyFont="1" applyFill="1" applyBorder="1" applyAlignment="1" applyProtection="1">
      <alignment horizontal="center"/>
    </xf>
    <xf numFmtId="9" fontId="19" fillId="0" borderId="8" xfId="0" applyNumberFormat="1" applyFont="1" applyFill="1" applyBorder="1" applyAlignment="1" applyProtection="1">
      <alignment horizontal="center"/>
      <protection locked="0"/>
    </xf>
    <xf numFmtId="2" fontId="19" fillId="2" borderId="33" xfId="0" applyNumberFormat="1" applyFont="1" applyFill="1" applyBorder="1" applyAlignment="1" applyProtection="1">
      <alignment horizontal="center"/>
    </xf>
    <xf numFmtId="2" fontId="19" fillId="0" borderId="32" xfId="0" applyNumberFormat="1" applyFont="1" applyFill="1" applyBorder="1" applyAlignment="1" applyProtection="1">
      <alignment horizontal="center"/>
    </xf>
    <xf numFmtId="0" fontId="19" fillId="0" borderId="9" xfId="0" applyFont="1" applyFill="1" applyBorder="1" applyAlignment="1" applyProtection="1">
      <alignment horizontal="center"/>
      <protection locked="0"/>
    </xf>
    <xf numFmtId="2" fontId="19" fillId="2" borderId="33" xfId="0" applyNumberFormat="1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26" fillId="0" borderId="0" xfId="0" applyFont="1" applyAlignment="1">
      <alignment horizontal="right"/>
    </xf>
    <xf numFmtId="0" fontId="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4" fillId="3" borderId="3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9" fillId="0" borderId="14" xfId="0" applyFont="1" applyFill="1" applyBorder="1" applyAlignment="1" applyProtection="1">
      <alignment horizontal="center" wrapText="1"/>
      <protection locked="0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right" wrapText="1" indent="1"/>
      <protection locked="0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26EE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1096;&#1090;&#1072;&#1090;&#1082;&#1072;18/&#1064;&#1058;&#1040;&#1058;&#1053;&#1054;&#1045;%20&#1048;%20&#1056;&#1040;&#1057;&#1063;&#1045;&#1058;&#1067;%20&#1053;&#1040;%20%2001.06.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1096;&#1090;&#1072;&#1090;&#1082;&#1072;18/&#1064;&#1058;&#1040;&#1058;&#1053;&#1054;&#1045;%20&#1048;%20&#1056;&#1040;&#1057;&#1063;&#1045;&#1058;&#1067;%20&#1053;&#1040;%20%2001.01.2016&#1075;.%20(1)%20&#8212;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Ы по действ.сист"/>
      <sheetName val="РАСЧЁТЫ по действ.сист"/>
      <sheetName val="ШТАТЫ по НОВ.МОД"/>
      <sheetName val="РАСЧЁТЫ по НОВ.МОД"/>
      <sheetName val=" расчеты с-сч"/>
      <sheetName val="ШТАТЫ с-сч"/>
      <sheetName val="РАСЧЁТЫ по НОВ.МОД (2)"/>
      <sheetName val="РАСЧЁТЫ по НОВ.МОД (3)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W15">
            <v>289469.83</v>
          </cell>
        </row>
        <row r="46">
          <cell r="W46">
            <v>88330.15</v>
          </cell>
        </row>
        <row r="47">
          <cell r="W47">
            <v>71053.460000000006</v>
          </cell>
        </row>
        <row r="48">
          <cell r="W48">
            <v>73973.460000000006</v>
          </cell>
        </row>
        <row r="49">
          <cell r="W49">
            <v>73973.460000000006</v>
          </cell>
        </row>
        <row r="50">
          <cell r="W50">
            <v>0</v>
          </cell>
        </row>
        <row r="56">
          <cell r="W56">
            <v>56940.1</v>
          </cell>
        </row>
        <row r="57">
          <cell r="W57">
            <v>76893.47</v>
          </cell>
        </row>
        <row r="58">
          <cell r="W58">
            <v>78840.14</v>
          </cell>
        </row>
        <row r="59">
          <cell r="W59">
            <v>83950.14</v>
          </cell>
        </row>
        <row r="60">
          <cell r="W60">
            <v>60346.77</v>
          </cell>
        </row>
        <row r="61">
          <cell r="W61">
            <v>79813.47</v>
          </cell>
        </row>
        <row r="62">
          <cell r="W62">
            <v>85410.15</v>
          </cell>
        </row>
        <row r="63">
          <cell r="W63">
            <v>0</v>
          </cell>
        </row>
        <row r="64">
          <cell r="W64">
            <v>95386.83</v>
          </cell>
        </row>
        <row r="65">
          <cell r="W65">
            <v>88330.15</v>
          </cell>
        </row>
        <row r="70">
          <cell r="W70">
            <v>89546.82</v>
          </cell>
        </row>
        <row r="78">
          <cell r="W78">
            <v>61691.74</v>
          </cell>
        </row>
        <row r="79">
          <cell r="W79">
            <v>0</v>
          </cell>
        </row>
        <row r="80">
          <cell r="W80">
            <v>50436.46</v>
          </cell>
        </row>
        <row r="81">
          <cell r="W81">
            <v>49463.12</v>
          </cell>
        </row>
        <row r="84">
          <cell r="W84">
            <v>0</v>
          </cell>
        </row>
        <row r="85">
          <cell r="W85">
            <v>51409.79</v>
          </cell>
        </row>
        <row r="86">
          <cell r="W86">
            <v>59355.74</v>
          </cell>
        </row>
        <row r="87">
          <cell r="W87">
            <v>51409.79</v>
          </cell>
        </row>
        <row r="90">
          <cell r="W90">
            <v>52383.13</v>
          </cell>
        </row>
        <row r="94">
          <cell r="W94">
            <v>1883845.72</v>
          </cell>
        </row>
        <row r="122">
          <cell r="W122">
            <v>688998.17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Ы по действ.сист"/>
      <sheetName val="РАСЧЁТЫ по действ.сист"/>
      <sheetName val="ШТАТЫ по НОВ.МОД"/>
      <sheetName val="РАСЧЁТЫ по НОВ.МОД"/>
      <sheetName val=" расчеты с-сч"/>
      <sheetName val="ШТАТЫ с-сч"/>
      <sheetName val="РАСЧЁТЫ по НОВ.МОД (2)"/>
      <sheetName val="РАСЧЁТЫ по НОВ.МОД (3)"/>
    </sheetNames>
    <sheetDataSet>
      <sheetData sheetId="0" refreshError="1"/>
      <sheetData sheetId="1" refreshError="1">
        <row r="15">
          <cell r="W15">
            <v>158069.6</v>
          </cell>
        </row>
        <row r="92">
          <cell r="W92">
            <v>2832816.4300000006</v>
          </cell>
        </row>
        <row r="121">
          <cell r="W121">
            <v>639994.48</v>
          </cell>
        </row>
        <row r="128">
          <cell r="AE128">
            <v>87.25</v>
          </cell>
          <cell r="AF128">
            <v>3630880.51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B16" workbookViewId="0">
      <selection activeCell="M101" sqref="M101"/>
    </sheetView>
  </sheetViews>
  <sheetFormatPr defaultRowHeight="12.75" x14ac:dyDescent="0.2"/>
  <cols>
    <col min="1" max="1" width="2.85546875" style="1" hidden="1" customWidth="1"/>
    <col min="2" max="2" width="25.85546875" style="4" customWidth="1"/>
    <col min="3" max="3" width="4.140625" style="4" customWidth="1"/>
    <col min="4" max="4" width="5" style="5" customWidth="1"/>
    <col min="5" max="5" width="4.140625" style="1" customWidth="1"/>
    <col min="6" max="6" width="8.42578125" style="47" customWidth="1"/>
    <col min="7" max="7" width="5.42578125" style="47" customWidth="1"/>
    <col min="8" max="8" width="10.5703125" style="47" customWidth="1"/>
    <col min="9" max="9" width="13.140625" style="47" customWidth="1"/>
    <col min="10" max="10" width="5.5703125" style="47" customWidth="1"/>
    <col min="11" max="11" width="4.85546875" style="47" customWidth="1"/>
    <col min="12" max="12" width="7.85546875" style="47" customWidth="1"/>
    <col min="13" max="13" width="10.85546875" style="47" customWidth="1"/>
    <col min="14" max="14" width="5.7109375" style="47" customWidth="1"/>
    <col min="15" max="15" width="11.5703125" style="47" customWidth="1"/>
    <col min="16" max="16" width="18.85546875" style="47" customWidth="1"/>
    <col min="17" max="17" width="13.85546875" style="1" customWidth="1"/>
    <col min="18" max="18" width="13.42578125" style="178" customWidth="1"/>
    <col min="19" max="19" width="15" style="190" customWidth="1"/>
    <col min="20" max="20" width="25.28515625" style="190" customWidth="1"/>
    <col min="21" max="21" width="25.7109375" style="190" customWidth="1"/>
    <col min="22" max="25" width="9.140625" style="190"/>
    <col min="26" max="28" width="9.140625" style="24"/>
    <col min="29" max="256" width="9.140625" style="1"/>
    <col min="257" max="257" width="0" style="1" hidden="1" customWidth="1"/>
    <col min="258" max="258" width="29.140625" style="1" customWidth="1"/>
    <col min="259" max="259" width="4.140625" style="1" customWidth="1"/>
    <col min="260" max="260" width="5" style="1" customWidth="1"/>
    <col min="261" max="261" width="4.140625" style="1" customWidth="1"/>
    <col min="262" max="262" width="10" style="1" customWidth="1"/>
    <col min="263" max="263" width="5.42578125" style="1" customWidth="1"/>
    <col min="264" max="264" width="10.5703125" style="1" customWidth="1"/>
    <col min="265" max="265" width="12.5703125" style="1" customWidth="1"/>
    <col min="266" max="266" width="6.28515625" style="1" customWidth="1"/>
    <col min="267" max="267" width="5.7109375" style="1" customWidth="1"/>
    <col min="268" max="268" width="9.5703125" style="1" customWidth="1"/>
    <col min="269" max="269" width="12.42578125" style="1" customWidth="1"/>
    <col min="270" max="270" width="6.42578125" style="1" customWidth="1"/>
    <col min="271" max="271" width="12.7109375" style="1" customWidth="1"/>
    <col min="272" max="272" width="16.85546875" style="1" customWidth="1"/>
    <col min="273" max="273" width="14.42578125" style="1" customWidth="1"/>
    <col min="274" max="274" width="13.42578125" style="1" customWidth="1"/>
    <col min="275" max="275" width="15" style="1" customWidth="1"/>
    <col min="276" max="276" width="25.28515625" style="1" customWidth="1"/>
    <col min="277" max="277" width="25.7109375" style="1" customWidth="1"/>
    <col min="278" max="512" width="9.140625" style="1"/>
    <col min="513" max="513" width="0" style="1" hidden="1" customWidth="1"/>
    <col min="514" max="514" width="29.140625" style="1" customWidth="1"/>
    <col min="515" max="515" width="4.140625" style="1" customWidth="1"/>
    <col min="516" max="516" width="5" style="1" customWidth="1"/>
    <col min="517" max="517" width="4.140625" style="1" customWidth="1"/>
    <col min="518" max="518" width="10" style="1" customWidth="1"/>
    <col min="519" max="519" width="5.42578125" style="1" customWidth="1"/>
    <col min="520" max="520" width="10.5703125" style="1" customWidth="1"/>
    <col min="521" max="521" width="12.5703125" style="1" customWidth="1"/>
    <col min="522" max="522" width="6.28515625" style="1" customWidth="1"/>
    <col min="523" max="523" width="5.7109375" style="1" customWidth="1"/>
    <col min="524" max="524" width="9.5703125" style="1" customWidth="1"/>
    <col min="525" max="525" width="12.42578125" style="1" customWidth="1"/>
    <col min="526" max="526" width="6.42578125" style="1" customWidth="1"/>
    <col min="527" max="527" width="12.7109375" style="1" customWidth="1"/>
    <col min="528" max="528" width="16.85546875" style="1" customWidth="1"/>
    <col min="529" max="529" width="14.42578125" style="1" customWidth="1"/>
    <col min="530" max="530" width="13.42578125" style="1" customWidth="1"/>
    <col min="531" max="531" width="15" style="1" customWidth="1"/>
    <col min="532" max="532" width="25.28515625" style="1" customWidth="1"/>
    <col min="533" max="533" width="25.7109375" style="1" customWidth="1"/>
    <col min="534" max="768" width="9.140625" style="1"/>
    <col min="769" max="769" width="0" style="1" hidden="1" customWidth="1"/>
    <col min="770" max="770" width="29.140625" style="1" customWidth="1"/>
    <col min="771" max="771" width="4.140625" style="1" customWidth="1"/>
    <col min="772" max="772" width="5" style="1" customWidth="1"/>
    <col min="773" max="773" width="4.140625" style="1" customWidth="1"/>
    <col min="774" max="774" width="10" style="1" customWidth="1"/>
    <col min="775" max="775" width="5.42578125" style="1" customWidth="1"/>
    <col min="776" max="776" width="10.5703125" style="1" customWidth="1"/>
    <col min="777" max="777" width="12.5703125" style="1" customWidth="1"/>
    <col min="778" max="778" width="6.28515625" style="1" customWidth="1"/>
    <col min="779" max="779" width="5.7109375" style="1" customWidth="1"/>
    <col min="780" max="780" width="9.5703125" style="1" customWidth="1"/>
    <col min="781" max="781" width="12.42578125" style="1" customWidth="1"/>
    <col min="782" max="782" width="6.42578125" style="1" customWidth="1"/>
    <col min="783" max="783" width="12.7109375" style="1" customWidth="1"/>
    <col min="784" max="784" width="16.85546875" style="1" customWidth="1"/>
    <col min="785" max="785" width="14.42578125" style="1" customWidth="1"/>
    <col min="786" max="786" width="13.42578125" style="1" customWidth="1"/>
    <col min="787" max="787" width="15" style="1" customWidth="1"/>
    <col min="788" max="788" width="25.28515625" style="1" customWidth="1"/>
    <col min="789" max="789" width="25.7109375" style="1" customWidth="1"/>
    <col min="790" max="1024" width="9.140625" style="1"/>
    <col min="1025" max="1025" width="0" style="1" hidden="1" customWidth="1"/>
    <col min="1026" max="1026" width="29.140625" style="1" customWidth="1"/>
    <col min="1027" max="1027" width="4.140625" style="1" customWidth="1"/>
    <col min="1028" max="1028" width="5" style="1" customWidth="1"/>
    <col min="1029" max="1029" width="4.140625" style="1" customWidth="1"/>
    <col min="1030" max="1030" width="10" style="1" customWidth="1"/>
    <col min="1031" max="1031" width="5.42578125" style="1" customWidth="1"/>
    <col min="1032" max="1032" width="10.5703125" style="1" customWidth="1"/>
    <col min="1033" max="1033" width="12.5703125" style="1" customWidth="1"/>
    <col min="1034" max="1034" width="6.28515625" style="1" customWidth="1"/>
    <col min="1035" max="1035" width="5.7109375" style="1" customWidth="1"/>
    <col min="1036" max="1036" width="9.5703125" style="1" customWidth="1"/>
    <col min="1037" max="1037" width="12.42578125" style="1" customWidth="1"/>
    <col min="1038" max="1038" width="6.42578125" style="1" customWidth="1"/>
    <col min="1039" max="1039" width="12.7109375" style="1" customWidth="1"/>
    <col min="1040" max="1040" width="16.85546875" style="1" customWidth="1"/>
    <col min="1041" max="1041" width="14.42578125" style="1" customWidth="1"/>
    <col min="1042" max="1042" width="13.42578125" style="1" customWidth="1"/>
    <col min="1043" max="1043" width="15" style="1" customWidth="1"/>
    <col min="1044" max="1044" width="25.28515625" style="1" customWidth="1"/>
    <col min="1045" max="1045" width="25.7109375" style="1" customWidth="1"/>
    <col min="1046" max="1280" width="9.140625" style="1"/>
    <col min="1281" max="1281" width="0" style="1" hidden="1" customWidth="1"/>
    <col min="1282" max="1282" width="29.140625" style="1" customWidth="1"/>
    <col min="1283" max="1283" width="4.140625" style="1" customWidth="1"/>
    <col min="1284" max="1284" width="5" style="1" customWidth="1"/>
    <col min="1285" max="1285" width="4.140625" style="1" customWidth="1"/>
    <col min="1286" max="1286" width="10" style="1" customWidth="1"/>
    <col min="1287" max="1287" width="5.42578125" style="1" customWidth="1"/>
    <col min="1288" max="1288" width="10.5703125" style="1" customWidth="1"/>
    <col min="1289" max="1289" width="12.5703125" style="1" customWidth="1"/>
    <col min="1290" max="1290" width="6.28515625" style="1" customWidth="1"/>
    <col min="1291" max="1291" width="5.7109375" style="1" customWidth="1"/>
    <col min="1292" max="1292" width="9.5703125" style="1" customWidth="1"/>
    <col min="1293" max="1293" width="12.42578125" style="1" customWidth="1"/>
    <col min="1294" max="1294" width="6.42578125" style="1" customWidth="1"/>
    <col min="1295" max="1295" width="12.7109375" style="1" customWidth="1"/>
    <col min="1296" max="1296" width="16.85546875" style="1" customWidth="1"/>
    <col min="1297" max="1297" width="14.42578125" style="1" customWidth="1"/>
    <col min="1298" max="1298" width="13.42578125" style="1" customWidth="1"/>
    <col min="1299" max="1299" width="15" style="1" customWidth="1"/>
    <col min="1300" max="1300" width="25.28515625" style="1" customWidth="1"/>
    <col min="1301" max="1301" width="25.7109375" style="1" customWidth="1"/>
    <col min="1302" max="1536" width="9.140625" style="1"/>
    <col min="1537" max="1537" width="0" style="1" hidden="1" customWidth="1"/>
    <col min="1538" max="1538" width="29.140625" style="1" customWidth="1"/>
    <col min="1539" max="1539" width="4.140625" style="1" customWidth="1"/>
    <col min="1540" max="1540" width="5" style="1" customWidth="1"/>
    <col min="1541" max="1541" width="4.140625" style="1" customWidth="1"/>
    <col min="1542" max="1542" width="10" style="1" customWidth="1"/>
    <col min="1543" max="1543" width="5.42578125" style="1" customWidth="1"/>
    <col min="1544" max="1544" width="10.5703125" style="1" customWidth="1"/>
    <col min="1545" max="1545" width="12.5703125" style="1" customWidth="1"/>
    <col min="1546" max="1546" width="6.28515625" style="1" customWidth="1"/>
    <col min="1547" max="1547" width="5.7109375" style="1" customWidth="1"/>
    <col min="1548" max="1548" width="9.5703125" style="1" customWidth="1"/>
    <col min="1549" max="1549" width="12.42578125" style="1" customWidth="1"/>
    <col min="1550" max="1550" width="6.42578125" style="1" customWidth="1"/>
    <col min="1551" max="1551" width="12.7109375" style="1" customWidth="1"/>
    <col min="1552" max="1552" width="16.85546875" style="1" customWidth="1"/>
    <col min="1553" max="1553" width="14.42578125" style="1" customWidth="1"/>
    <col min="1554" max="1554" width="13.42578125" style="1" customWidth="1"/>
    <col min="1555" max="1555" width="15" style="1" customWidth="1"/>
    <col min="1556" max="1556" width="25.28515625" style="1" customWidth="1"/>
    <col min="1557" max="1557" width="25.7109375" style="1" customWidth="1"/>
    <col min="1558" max="1792" width="9.140625" style="1"/>
    <col min="1793" max="1793" width="0" style="1" hidden="1" customWidth="1"/>
    <col min="1794" max="1794" width="29.140625" style="1" customWidth="1"/>
    <col min="1795" max="1795" width="4.140625" style="1" customWidth="1"/>
    <col min="1796" max="1796" width="5" style="1" customWidth="1"/>
    <col min="1797" max="1797" width="4.140625" style="1" customWidth="1"/>
    <col min="1798" max="1798" width="10" style="1" customWidth="1"/>
    <col min="1799" max="1799" width="5.42578125" style="1" customWidth="1"/>
    <col min="1800" max="1800" width="10.5703125" style="1" customWidth="1"/>
    <col min="1801" max="1801" width="12.5703125" style="1" customWidth="1"/>
    <col min="1802" max="1802" width="6.28515625" style="1" customWidth="1"/>
    <col min="1803" max="1803" width="5.7109375" style="1" customWidth="1"/>
    <col min="1804" max="1804" width="9.5703125" style="1" customWidth="1"/>
    <col min="1805" max="1805" width="12.42578125" style="1" customWidth="1"/>
    <col min="1806" max="1806" width="6.42578125" style="1" customWidth="1"/>
    <col min="1807" max="1807" width="12.7109375" style="1" customWidth="1"/>
    <col min="1808" max="1808" width="16.85546875" style="1" customWidth="1"/>
    <col min="1809" max="1809" width="14.42578125" style="1" customWidth="1"/>
    <col min="1810" max="1810" width="13.42578125" style="1" customWidth="1"/>
    <col min="1811" max="1811" width="15" style="1" customWidth="1"/>
    <col min="1812" max="1812" width="25.28515625" style="1" customWidth="1"/>
    <col min="1813" max="1813" width="25.7109375" style="1" customWidth="1"/>
    <col min="1814" max="2048" width="9.140625" style="1"/>
    <col min="2049" max="2049" width="0" style="1" hidden="1" customWidth="1"/>
    <col min="2050" max="2050" width="29.140625" style="1" customWidth="1"/>
    <col min="2051" max="2051" width="4.140625" style="1" customWidth="1"/>
    <col min="2052" max="2052" width="5" style="1" customWidth="1"/>
    <col min="2053" max="2053" width="4.140625" style="1" customWidth="1"/>
    <col min="2054" max="2054" width="10" style="1" customWidth="1"/>
    <col min="2055" max="2055" width="5.42578125" style="1" customWidth="1"/>
    <col min="2056" max="2056" width="10.5703125" style="1" customWidth="1"/>
    <col min="2057" max="2057" width="12.5703125" style="1" customWidth="1"/>
    <col min="2058" max="2058" width="6.28515625" style="1" customWidth="1"/>
    <col min="2059" max="2059" width="5.7109375" style="1" customWidth="1"/>
    <col min="2060" max="2060" width="9.5703125" style="1" customWidth="1"/>
    <col min="2061" max="2061" width="12.42578125" style="1" customWidth="1"/>
    <col min="2062" max="2062" width="6.42578125" style="1" customWidth="1"/>
    <col min="2063" max="2063" width="12.7109375" style="1" customWidth="1"/>
    <col min="2064" max="2064" width="16.85546875" style="1" customWidth="1"/>
    <col min="2065" max="2065" width="14.42578125" style="1" customWidth="1"/>
    <col min="2066" max="2066" width="13.42578125" style="1" customWidth="1"/>
    <col min="2067" max="2067" width="15" style="1" customWidth="1"/>
    <col min="2068" max="2068" width="25.28515625" style="1" customWidth="1"/>
    <col min="2069" max="2069" width="25.7109375" style="1" customWidth="1"/>
    <col min="2070" max="2304" width="9.140625" style="1"/>
    <col min="2305" max="2305" width="0" style="1" hidden="1" customWidth="1"/>
    <col min="2306" max="2306" width="29.140625" style="1" customWidth="1"/>
    <col min="2307" max="2307" width="4.140625" style="1" customWidth="1"/>
    <col min="2308" max="2308" width="5" style="1" customWidth="1"/>
    <col min="2309" max="2309" width="4.140625" style="1" customWidth="1"/>
    <col min="2310" max="2310" width="10" style="1" customWidth="1"/>
    <col min="2311" max="2311" width="5.42578125" style="1" customWidth="1"/>
    <col min="2312" max="2312" width="10.5703125" style="1" customWidth="1"/>
    <col min="2313" max="2313" width="12.5703125" style="1" customWidth="1"/>
    <col min="2314" max="2314" width="6.28515625" style="1" customWidth="1"/>
    <col min="2315" max="2315" width="5.7109375" style="1" customWidth="1"/>
    <col min="2316" max="2316" width="9.5703125" style="1" customWidth="1"/>
    <col min="2317" max="2317" width="12.42578125" style="1" customWidth="1"/>
    <col min="2318" max="2318" width="6.42578125" style="1" customWidth="1"/>
    <col min="2319" max="2319" width="12.7109375" style="1" customWidth="1"/>
    <col min="2320" max="2320" width="16.85546875" style="1" customWidth="1"/>
    <col min="2321" max="2321" width="14.42578125" style="1" customWidth="1"/>
    <col min="2322" max="2322" width="13.42578125" style="1" customWidth="1"/>
    <col min="2323" max="2323" width="15" style="1" customWidth="1"/>
    <col min="2324" max="2324" width="25.28515625" style="1" customWidth="1"/>
    <col min="2325" max="2325" width="25.7109375" style="1" customWidth="1"/>
    <col min="2326" max="2560" width="9.140625" style="1"/>
    <col min="2561" max="2561" width="0" style="1" hidden="1" customWidth="1"/>
    <col min="2562" max="2562" width="29.140625" style="1" customWidth="1"/>
    <col min="2563" max="2563" width="4.140625" style="1" customWidth="1"/>
    <col min="2564" max="2564" width="5" style="1" customWidth="1"/>
    <col min="2565" max="2565" width="4.140625" style="1" customWidth="1"/>
    <col min="2566" max="2566" width="10" style="1" customWidth="1"/>
    <col min="2567" max="2567" width="5.42578125" style="1" customWidth="1"/>
    <col min="2568" max="2568" width="10.5703125" style="1" customWidth="1"/>
    <col min="2569" max="2569" width="12.5703125" style="1" customWidth="1"/>
    <col min="2570" max="2570" width="6.28515625" style="1" customWidth="1"/>
    <col min="2571" max="2571" width="5.7109375" style="1" customWidth="1"/>
    <col min="2572" max="2572" width="9.5703125" style="1" customWidth="1"/>
    <col min="2573" max="2573" width="12.42578125" style="1" customWidth="1"/>
    <col min="2574" max="2574" width="6.42578125" style="1" customWidth="1"/>
    <col min="2575" max="2575" width="12.7109375" style="1" customWidth="1"/>
    <col min="2576" max="2576" width="16.85546875" style="1" customWidth="1"/>
    <col min="2577" max="2577" width="14.42578125" style="1" customWidth="1"/>
    <col min="2578" max="2578" width="13.42578125" style="1" customWidth="1"/>
    <col min="2579" max="2579" width="15" style="1" customWidth="1"/>
    <col min="2580" max="2580" width="25.28515625" style="1" customWidth="1"/>
    <col min="2581" max="2581" width="25.7109375" style="1" customWidth="1"/>
    <col min="2582" max="2816" width="9.140625" style="1"/>
    <col min="2817" max="2817" width="0" style="1" hidden="1" customWidth="1"/>
    <col min="2818" max="2818" width="29.140625" style="1" customWidth="1"/>
    <col min="2819" max="2819" width="4.140625" style="1" customWidth="1"/>
    <col min="2820" max="2820" width="5" style="1" customWidth="1"/>
    <col min="2821" max="2821" width="4.140625" style="1" customWidth="1"/>
    <col min="2822" max="2822" width="10" style="1" customWidth="1"/>
    <col min="2823" max="2823" width="5.42578125" style="1" customWidth="1"/>
    <col min="2824" max="2824" width="10.5703125" style="1" customWidth="1"/>
    <col min="2825" max="2825" width="12.5703125" style="1" customWidth="1"/>
    <col min="2826" max="2826" width="6.28515625" style="1" customWidth="1"/>
    <col min="2827" max="2827" width="5.7109375" style="1" customWidth="1"/>
    <col min="2828" max="2828" width="9.5703125" style="1" customWidth="1"/>
    <col min="2829" max="2829" width="12.42578125" style="1" customWidth="1"/>
    <col min="2830" max="2830" width="6.42578125" style="1" customWidth="1"/>
    <col min="2831" max="2831" width="12.7109375" style="1" customWidth="1"/>
    <col min="2832" max="2832" width="16.85546875" style="1" customWidth="1"/>
    <col min="2833" max="2833" width="14.42578125" style="1" customWidth="1"/>
    <col min="2834" max="2834" width="13.42578125" style="1" customWidth="1"/>
    <col min="2835" max="2835" width="15" style="1" customWidth="1"/>
    <col min="2836" max="2836" width="25.28515625" style="1" customWidth="1"/>
    <col min="2837" max="2837" width="25.7109375" style="1" customWidth="1"/>
    <col min="2838" max="3072" width="9.140625" style="1"/>
    <col min="3073" max="3073" width="0" style="1" hidden="1" customWidth="1"/>
    <col min="3074" max="3074" width="29.140625" style="1" customWidth="1"/>
    <col min="3075" max="3075" width="4.140625" style="1" customWidth="1"/>
    <col min="3076" max="3076" width="5" style="1" customWidth="1"/>
    <col min="3077" max="3077" width="4.140625" style="1" customWidth="1"/>
    <col min="3078" max="3078" width="10" style="1" customWidth="1"/>
    <col min="3079" max="3079" width="5.42578125" style="1" customWidth="1"/>
    <col min="3080" max="3080" width="10.5703125" style="1" customWidth="1"/>
    <col min="3081" max="3081" width="12.5703125" style="1" customWidth="1"/>
    <col min="3082" max="3082" width="6.28515625" style="1" customWidth="1"/>
    <col min="3083" max="3083" width="5.7109375" style="1" customWidth="1"/>
    <col min="3084" max="3084" width="9.5703125" style="1" customWidth="1"/>
    <col min="3085" max="3085" width="12.42578125" style="1" customWidth="1"/>
    <col min="3086" max="3086" width="6.42578125" style="1" customWidth="1"/>
    <col min="3087" max="3087" width="12.7109375" style="1" customWidth="1"/>
    <col min="3088" max="3088" width="16.85546875" style="1" customWidth="1"/>
    <col min="3089" max="3089" width="14.42578125" style="1" customWidth="1"/>
    <col min="3090" max="3090" width="13.42578125" style="1" customWidth="1"/>
    <col min="3091" max="3091" width="15" style="1" customWidth="1"/>
    <col min="3092" max="3092" width="25.28515625" style="1" customWidth="1"/>
    <col min="3093" max="3093" width="25.7109375" style="1" customWidth="1"/>
    <col min="3094" max="3328" width="9.140625" style="1"/>
    <col min="3329" max="3329" width="0" style="1" hidden="1" customWidth="1"/>
    <col min="3330" max="3330" width="29.140625" style="1" customWidth="1"/>
    <col min="3331" max="3331" width="4.140625" style="1" customWidth="1"/>
    <col min="3332" max="3332" width="5" style="1" customWidth="1"/>
    <col min="3333" max="3333" width="4.140625" style="1" customWidth="1"/>
    <col min="3334" max="3334" width="10" style="1" customWidth="1"/>
    <col min="3335" max="3335" width="5.42578125" style="1" customWidth="1"/>
    <col min="3336" max="3336" width="10.5703125" style="1" customWidth="1"/>
    <col min="3337" max="3337" width="12.5703125" style="1" customWidth="1"/>
    <col min="3338" max="3338" width="6.28515625" style="1" customWidth="1"/>
    <col min="3339" max="3339" width="5.7109375" style="1" customWidth="1"/>
    <col min="3340" max="3340" width="9.5703125" style="1" customWidth="1"/>
    <col min="3341" max="3341" width="12.42578125" style="1" customWidth="1"/>
    <col min="3342" max="3342" width="6.42578125" style="1" customWidth="1"/>
    <col min="3343" max="3343" width="12.7109375" style="1" customWidth="1"/>
    <col min="3344" max="3344" width="16.85546875" style="1" customWidth="1"/>
    <col min="3345" max="3345" width="14.42578125" style="1" customWidth="1"/>
    <col min="3346" max="3346" width="13.42578125" style="1" customWidth="1"/>
    <col min="3347" max="3347" width="15" style="1" customWidth="1"/>
    <col min="3348" max="3348" width="25.28515625" style="1" customWidth="1"/>
    <col min="3349" max="3349" width="25.7109375" style="1" customWidth="1"/>
    <col min="3350" max="3584" width="9.140625" style="1"/>
    <col min="3585" max="3585" width="0" style="1" hidden="1" customWidth="1"/>
    <col min="3586" max="3586" width="29.140625" style="1" customWidth="1"/>
    <col min="3587" max="3587" width="4.140625" style="1" customWidth="1"/>
    <col min="3588" max="3588" width="5" style="1" customWidth="1"/>
    <col min="3589" max="3589" width="4.140625" style="1" customWidth="1"/>
    <col min="3590" max="3590" width="10" style="1" customWidth="1"/>
    <col min="3591" max="3591" width="5.42578125" style="1" customWidth="1"/>
    <col min="3592" max="3592" width="10.5703125" style="1" customWidth="1"/>
    <col min="3593" max="3593" width="12.5703125" style="1" customWidth="1"/>
    <col min="3594" max="3594" width="6.28515625" style="1" customWidth="1"/>
    <col min="3595" max="3595" width="5.7109375" style="1" customWidth="1"/>
    <col min="3596" max="3596" width="9.5703125" style="1" customWidth="1"/>
    <col min="3597" max="3597" width="12.42578125" style="1" customWidth="1"/>
    <col min="3598" max="3598" width="6.42578125" style="1" customWidth="1"/>
    <col min="3599" max="3599" width="12.7109375" style="1" customWidth="1"/>
    <col min="3600" max="3600" width="16.85546875" style="1" customWidth="1"/>
    <col min="3601" max="3601" width="14.42578125" style="1" customWidth="1"/>
    <col min="3602" max="3602" width="13.42578125" style="1" customWidth="1"/>
    <col min="3603" max="3603" width="15" style="1" customWidth="1"/>
    <col min="3604" max="3604" width="25.28515625" style="1" customWidth="1"/>
    <col min="3605" max="3605" width="25.7109375" style="1" customWidth="1"/>
    <col min="3606" max="3840" width="9.140625" style="1"/>
    <col min="3841" max="3841" width="0" style="1" hidden="1" customWidth="1"/>
    <col min="3842" max="3842" width="29.140625" style="1" customWidth="1"/>
    <col min="3843" max="3843" width="4.140625" style="1" customWidth="1"/>
    <col min="3844" max="3844" width="5" style="1" customWidth="1"/>
    <col min="3845" max="3845" width="4.140625" style="1" customWidth="1"/>
    <col min="3846" max="3846" width="10" style="1" customWidth="1"/>
    <col min="3847" max="3847" width="5.42578125" style="1" customWidth="1"/>
    <col min="3848" max="3848" width="10.5703125" style="1" customWidth="1"/>
    <col min="3849" max="3849" width="12.5703125" style="1" customWidth="1"/>
    <col min="3850" max="3850" width="6.28515625" style="1" customWidth="1"/>
    <col min="3851" max="3851" width="5.7109375" style="1" customWidth="1"/>
    <col min="3852" max="3852" width="9.5703125" style="1" customWidth="1"/>
    <col min="3853" max="3853" width="12.42578125" style="1" customWidth="1"/>
    <col min="3854" max="3854" width="6.42578125" style="1" customWidth="1"/>
    <col min="3855" max="3855" width="12.7109375" style="1" customWidth="1"/>
    <col min="3856" max="3856" width="16.85546875" style="1" customWidth="1"/>
    <col min="3857" max="3857" width="14.42578125" style="1" customWidth="1"/>
    <col min="3858" max="3858" width="13.42578125" style="1" customWidth="1"/>
    <col min="3859" max="3859" width="15" style="1" customWidth="1"/>
    <col min="3860" max="3860" width="25.28515625" style="1" customWidth="1"/>
    <col min="3861" max="3861" width="25.7109375" style="1" customWidth="1"/>
    <col min="3862" max="4096" width="9.140625" style="1"/>
    <col min="4097" max="4097" width="0" style="1" hidden="1" customWidth="1"/>
    <col min="4098" max="4098" width="29.140625" style="1" customWidth="1"/>
    <col min="4099" max="4099" width="4.140625" style="1" customWidth="1"/>
    <col min="4100" max="4100" width="5" style="1" customWidth="1"/>
    <col min="4101" max="4101" width="4.140625" style="1" customWidth="1"/>
    <col min="4102" max="4102" width="10" style="1" customWidth="1"/>
    <col min="4103" max="4103" width="5.42578125" style="1" customWidth="1"/>
    <col min="4104" max="4104" width="10.5703125" style="1" customWidth="1"/>
    <col min="4105" max="4105" width="12.5703125" style="1" customWidth="1"/>
    <col min="4106" max="4106" width="6.28515625" style="1" customWidth="1"/>
    <col min="4107" max="4107" width="5.7109375" style="1" customWidth="1"/>
    <col min="4108" max="4108" width="9.5703125" style="1" customWidth="1"/>
    <col min="4109" max="4109" width="12.42578125" style="1" customWidth="1"/>
    <col min="4110" max="4110" width="6.42578125" style="1" customWidth="1"/>
    <col min="4111" max="4111" width="12.7109375" style="1" customWidth="1"/>
    <col min="4112" max="4112" width="16.85546875" style="1" customWidth="1"/>
    <col min="4113" max="4113" width="14.42578125" style="1" customWidth="1"/>
    <col min="4114" max="4114" width="13.42578125" style="1" customWidth="1"/>
    <col min="4115" max="4115" width="15" style="1" customWidth="1"/>
    <col min="4116" max="4116" width="25.28515625" style="1" customWidth="1"/>
    <col min="4117" max="4117" width="25.7109375" style="1" customWidth="1"/>
    <col min="4118" max="4352" width="9.140625" style="1"/>
    <col min="4353" max="4353" width="0" style="1" hidden="1" customWidth="1"/>
    <col min="4354" max="4354" width="29.140625" style="1" customWidth="1"/>
    <col min="4355" max="4355" width="4.140625" style="1" customWidth="1"/>
    <col min="4356" max="4356" width="5" style="1" customWidth="1"/>
    <col min="4357" max="4357" width="4.140625" style="1" customWidth="1"/>
    <col min="4358" max="4358" width="10" style="1" customWidth="1"/>
    <col min="4359" max="4359" width="5.42578125" style="1" customWidth="1"/>
    <col min="4360" max="4360" width="10.5703125" style="1" customWidth="1"/>
    <col min="4361" max="4361" width="12.5703125" style="1" customWidth="1"/>
    <col min="4362" max="4362" width="6.28515625" style="1" customWidth="1"/>
    <col min="4363" max="4363" width="5.7109375" style="1" customWidth="1"/>
    <col min="4364" max="4364" width="9.5703125" style="1" customWidth="1"/>
    <col min="4365" max="4365" width="12.42578125" style="1" customWidth="1"/>
    <col min="4366" max="4366" width="6.42578125" style="1" customWidth="1"/>
    <col min="4367" max="4367" width="12.7109375" style="1" customWidth="1"/>
    <col min="4368" max="4368" width="16.85546875" style="1" customWidth="1"/>
    <col min="4369" max="4369" width="14.42578125" style="1" customWidth="1"/>
    <col min="4370" max="4370" width="13.42578125" style="1" customWidth="1"/>
    <col min="4371" max="4371" width="15" style="1" customWidth="1"/>
    <col min="4372" max="4372" width="25.28515625" style="1" customWidth="1"/>
    <col min="4373" max="4373" width="25.7109375" style="1" customWidth="1"/>
    <col min="4374" max="4608" width="9.140625" style="1"/>
    <col min="4609" max="4609" width="0" style="1" hidden="1" customWidth="1"/>
    <col min="4610" max="4610" width="29.140625" style="1" customWidth="1"/>
    <col min="4611" max="4611" width="4.140625" style="1" customWidth="1"/>
    <col min="4612" max="4612" width="5" style="1" customWidth="1"/>
    <col min="4613" max="4613" width="4.140625" style="1" customWidth="1"/>
    <col min="4614" max="4614" width="10" style="1" customWidth="1"/>
    <col min="4615" max="4615" width="5.42578125" style="1" customWidth="1"/>
    <col min="4616" max="4616" width="10.5703125" style="1" customWidth="1"/>
    <col min="4617" max="4617" width="12.5703125" style="1" customWidth="1"/>
    <col min="4618" max="4618" width="6.28515625" style="1" customWidth="1"/>
    <col min="4619" max="4619" width="5.7109375" style="1" customWidth="1"/>
    <col min="4620" max="4620" width="9.5703125" style="1" customWidth="1"/>
    <col min="4621" max="4621" width="12.42578125" style="1" customWidth="1"/>
    <col min="4622" max="4622" width="6.42578125" style="1" customWidth="1"/>
    <col min="4623" max="4623" width="12.7109375" style="1" customWidth="1"/>
    <col min="4624" max="4624" width="16.85546875" style="1" customWidth="1"/>
    <col min="4625" max="4625" width="14.42578125" style="1" customWidth="1"/>
    <col min="4626" max="4626" width="13.42578125" style="1" customWidth="1"/>
    <col min="4627" max="4627" width="15" style="1" customWidth="1"/>
    <col min="4628" max="4628" width="25.28515625" style="1" customWidth="1"/>
    <col min="4629" max="4629" width="25.7109375" style="1" customWidth="1"/>
    <col min="4630" max="4864" width="9.140625" style="1"/>
    <col min="4865" max="4865" width="0" style="1" hidden="1" customWidth="1"/>
    <col min="4866" max="4866" width="29.140625" style="1" customWidth="1"/>
    <col min="4867" max="4867" width="4.140625" style="1" customWidth="1"/>
    <col min="4868" max="4868" width="5" style="1" customWidth="1"/>
    <col min="4869" max="4869" width="4.140625" style="1" customWidth="1"/>
    <col min="4870" max="4870" width="10" style="1" customWidth="1"/>
    <col min="4871" max="4871" width="5.42578125" style="1" customWidth="1"/>
    <col min="4872" max="4872" width="10.5703125" style="1" customWidth="1"/>
    <col min="4873" max="4873" width="12.5703125" style="1" customWidth="1"/>
    <col min="4874" max="4874" width="6.28515625" style="1" customWidth="1"/>
    <col min="4875" max="4875" width="5.7109375" style="1" customWidth="1"/>
    <col min="4876" max="4876" width="9.5703125" style="1" customWidth="1"/>
    <col min="4877" max="4877" width="12.42578125" style="1" customWidth="1"/>
    <col min="4878" max="4878" width="6.42578125" style="1" customWidth="1"/>
    <col min="4879" max="4879" width="12.7109375" style="1" customWidth="1"/>
    <col min="4880" max="4880" width="16.85546875" style="1" customWidth="1"/>
    <col min="4881" max="4881" width="14.42578125" style="1" customWidth="1"/>
    <col min="4882" max="4882" width="13.42578125" style="1" customWidth="1"/>
    <col min="4883" max="4883" width="15" style="1" customWidth="1"/>
    <col min="4884" max="4884" width="25.28515625" style="1" customWidth="1"/>
    <col min="4885" max="4885" width="25.7109375" style="1" customWidth="1"/>
    <col min="4886" max="5120" width="9.140625" style="1"/>
    <col min="5121" max="5121" width="0" style="1" hidden="1" customWidth="1"/>
    <col min="5122" max="5122" width="29.140625" style="1" customWidth="1"/>
    <col min="5123" max="5123" width="4.140625" style="1" customWidth="1"/>
    <col min="5124" max="5124" width="5" style="1" customWidth="1"/>
    <col min="5125" max="5125" width="4.140625" style="1" customWidth="1"/>
    <col min="5126" max="5126" width="10" style="1" customWidth="1"/>
    <col min="5127" max="5127" width="5.42578125" style="1" customWidth="1"/>
    <col min="5128" max="5128" width="10.5703125" style="1" customWidth="1"/>
    <col min="5129" max="5129" width="12.5703125" style="1" customWidth="1"/>
    <col min="5130" max="5130" width="6.28515625" style="1" customWidth="1"/>
    <col min="5131" max="5131" width="5.7109375" style="1" customWidth="1"/>
    <col min="5132" max="5132" width="9.5703125" style="1" customWidth="1"/>
    <col min="5133" max="5133" width="12.42578125" style="1" customWidth="1"/>
    <col min="5134" max="5134" width="6.42578125" style="1" customWidth="1"/>
    <col min="5135" max="5135" width="12.7109375" style="1" customWidth="1"/>
    <col min="5136" max="5136" width="16.85546875" style="1" customWidth="1"/>
    <col min="5137" max="5137" width="14.42578125" style="1" customWidth="1"/>
    <col min="5138" max="5138" width="13.42578125" style="1" customWidth="1"/>
    <col min="5139" max="5139" width="15" style="1" customWidth="1"/>
    <col min="5140" max="5140" width="25.28515625" style="1" customWidth="1"/>
    <col min="5141" max="5141" width="25.7109375" style="1" customWidth="1"/>
    <col min="5142" max="5376" width="9.140625" style="1"/>
    <col min="5377" max="5377" width="0" style="1" hidden="1" customWidth="1"/>
    <col min="5378" max="5378" width="29.140625" style="1" customWidth="1"/>
    <col min="5379" max="5379" width="4.140625" style="1" customWidth="1"/>
    <col min="5380" max="5380" width="5" style="1" customWidth="1"/>
    <col min="5381" max="5381" width="4.140625" style="1" customWidth="1"/>
    <col min="5382" max="5382" width="10" style="1" customWidth="1"/>
    <col min="5383" max="5383" width="5.42578125" style="1" customWidth="1"/>
    <col min="5384" max="5384" width="10.5703125" style="1" customWidth="1"/>
    <col min="5385" max="5385" width="12.5703125" style="1" customWidth="1"/>
    <col min="5386" max="5386" width="6.28515625" style="1" customWidth="1"/>
    <col min="5387" max="5387" width="5.7109375" style="1" customWidth="1"/>
    <col min="5388" max="5388" width="9.5703125" style="1" customWidth="1"/>
    <col min="5389" max="5389" width="12.42578125" style="1" customWidth="1"/>
    <col min="5390" max="5390" width="6.42578125" style="1" customWidth="1"/>
    <col min="5391" max="5391" width="12.7109375" style="1" customWidth="1"/>
    <col min="5392" max="5392" width="16.85546875" style="1" customWidth="1"/>
    <col min="5393" max="5393" width="14.42578125" style="1" customWidth="1"/>
    <col min="5394" max="5394" width="13.42578125" style="1" customWidth="1"/>
    <col min="5395" max="5395" width="15" style="1" customWidth="1"/>
    <col min="5396" max="5396" width="25.28515625" style="1" customWidth="1"/>
    <col min="5397" max="5397" width="25.7109375" style="1" customWidth="1"/>
    <col min="5398" max="5632" width="9.140625" style="1"/>
    <col min="5633" max="5633" width="0" style="1" hidden="1" customWidth="1"/>
    <col min="5634" max="5634" width="29.140625" style="1" customWidth="1"/>
    <col min="5635" max="5635" width="4.140625" style="1" customWidth="1"/>
    <col min="5636" max="5636" width="5" style="1" customWidth="1"/>
    <col min="5637" max="5637" width="4.140625" style="1" customWidth="1"/>
    <col min="5638" max="5638" width="10" style="1" customWidth="1"/>
    <col min="5639" max="5639" width="5.42578125" style="1" customWidth="1"/>
    <col min="5640" max="5640" width="10.5703125" style="1" customWidth="1"/>
    <col min="5641" max="5641" width="12.5703125" style="1" customWidth="1"/>
    <col min="5642" max="5642" width="6.28515625" style="1" customWidth="1"/>
    <col min="5643" max="5643" width="5.7109375" style="1" customWidth="1"/>
    <col min="5644" max="5644" width="9.5703125" style="1" customWidth="1"/>
    <col min="5645" max="5645" width="12.42578125" style="1" customWidth="1"/>
    <col min="5646" max="5646" width="6.42578125" style="1" customWidth="1"/>
    <col min="5647" max="5647" width="12.7109375" style="1" customWidth="1"/>
    <col min="5648" max="5648" width="16.85546875" style="1" customWidth="1"/>
    <col min="5649" max="5649" width="14.42578125" style="1" customWidth="1"/>
    <col min="5650" max="5650" width="13.42578125" style="1" customWidth="1"/>
    <col min="5651" max="5651" width="15" style="1" customWidth="1"/>
    <col min="5652" max="5652" width="25.28515625" style="1" customWidth="1"/>
    <col min="5653" max="5653" width="25.7109375" style="1" customWidth="1"/>
    <col min="5654" max="5888" width="9.140625" style="1"/>
    <col min="5889" max="5889" width="0" style="1" hidden="1" customWidth="1"/>
    <col min="5890" max="5890" width="29.140625" style="1" customWidth="1"/>
    <col min="5891" max="5891" width="4.140625" style="1" customWidth="1"/>
    <col min="5892" max="5892" width="5" style="1" customWidth="1"/>
    <col min="5893" max="5893" width="4.140625" style="1" customWidth="1"/>
    <col min="5894" max="5894" width="10" style="1" customWidth="1"/>
    <col min="5895" max="5895" width="5.42578125" style="1" customWidth="1"/>
    <col min="5896" max="5896" width="10.5703125" style="1" customWidth="1"/>
    <col min="5897" max="5897" width="12.5703125" style="1" customWidth="1"/>
    <col min="5898" max="5898" width="6.28515625" style="1" customWidth="1"/>
    <col min="5899" max="5899" width="5.7109375" style="1" customWidth="1"/>
    <col min="5900" max="5900" width="9.5703125" style="1" customWidth="1"/>
    <col min="5901" max="5901" width="12.42578125" style="1" customWidth="1"/>
    <col min="5902" max="5902" width="6.42578125" style="1" customWidth="1"/>
    <col min="5903" max="5903" width="12.7109375" style="1" customWidth="1"/>
    <col min="5904" max="5904" width="16.85546875" style="1" customWidth="1"/>
    <col min="5905" max="5905" width="14.42578125" style="1" customWidth="1"/>
    <col min="5906" max="5906" width="13.42578125" style="1" customWidth="1"/>
    <col min="5907" max="5907" width="15" style="1" customWidth="1"/>
    <col min="5908" max="5908" width="25.28515625" style="1" customWidth="1"/>
    <col min="5909" max="5909" width="25.7109375" style="1" customWidth="1"/>
    <col min="5910" max="6144" width="9.140625" style="1"/>
    <col min="6145" max="6145" width="0" style="1" hidden="1" customWidth="1"/>
    <col min="6146" max="6146" width="29.140625" style="1" customWidth="1"/>
    <col min="6147" max="6147" width="4.140625" style="1" customWidth="1"/>
    <col min="6148" max="6148" width="5" style="1" customWidth="1"/>
    <col min="6149" max="6149" width="4.140625" style="1" customWidth="1"/>
    <col min="6150" max="6150" width="10" style="1" customWidth="1"/>
    <col min="6151" max="6151" width="5.42578125" style="1" customWidth="1"/>
    <col min="6152" max="6152" width="10.5703125" style="1" customWidth="1"/>
    <col min="6153" max="6153" width="12.5703125" style="1" customWidth="1"/>
    <col min="6154" max="6154" width="6.28515625" style="1" customWidth="1"/>
    <col min="6155" max="6155" width="5.7109375" style="1" customWidth="1"/>
    <col min="6156" max="6156" width="9.5703125" style="1" customWidth="1"/>
    <col min="6157" max="6157" width="12.42578125" style="1" customWidth="1"/>
    <col min="6158" max="6158" width="6.42578125" style="1" customWidth="1"/>
    <col min="6159" max="6159" width="12.7109375" style="1" customWidth="1"/>
    <col min="6160" max="6160" width="16.85546875" style="1" customWidth="1"/>
    <col min="6161" max="6161" width="14.42578125" style="1" customWidth="1"/>
    <col min="6162" max="6162" width="13.42578125" style="1" customWidth="1"/>
    <col min="6163" max="6163" width="15" style="1" customWidth="1"/>
    <col min="6164" max="6164" width="25.28515625" style="1" customWidth="1"/>
    <col min="6165" max="6165" width="25.7109375" style="1" customWidth="1"/>
    <col min="6166" max="6400" width="9.140625" style="1"/>
    <col min="6401" max="6401" width="0" style="1" hidden="1" customWidth="1"/>
    <col min="6402" max="6402" width="29.140625" style="1" customWidth="1"/>
    <col min="6403" max="6403" width="4.140625" style="1" customWidth="1"/>
    <col min="6404" max="6404" width="5" style="1" customWidth="1"/>
    <col min="6405" max="6405" width="4.140625" style="1" customWidth="1"/>
    <col min="6406" max="6406" width="10" style="1" customWidth="1"/>
    <col min="6407" max="6407" width="5.42578125" style="1" customWidth="1"/>
    <col min="6408" max="6408" width="10.5703125" style="1" customWidth="1"/>
    <col min="6409" max="6409" width="12.5703125" style="1" customWidth="1"/>
    <col min="6410" max="6410" width="6.28515625" style="1" customWidth="1"/>
    <col min="6411" max="6411" width="5.7109375" style="1" customWidth="1"/>
    <col min="6412" max="6412" width="9.5703125" style="1" customWidth="1"/>
    <col min="6413" max="6413" width="12.42578125" style="1" customWidth="1"/>
    <col min="6414" max="6414" width="6.42578125" style="1" customWidth="1"/>
    <col min="6415" max="6415" width="12.7109375" style="1" customWidth="1"/>
    <col min="6416" max="6416" width="16.85546875" style="1" customWidth="1"/>
    <col min="6417" max="6417" width="14.42578125" style="1" customWidth="1"/>
    <col min="6418" max="6418" width="13.42578125" style="1" customWidth="1"/>
    <col min="6419" max="6419" width="15" style="1" customWidth="1"/>
    <col min="6420" max="6420" width="25.28515625" style="1" customWidth="1"/>
    <col min="6421" max="6421" width="25.7109375" style="1" customWidth="1"/>
    <col min="6422" max="6656" width="9.140625" style="1"/>
    <col min="6657" max="6657" width="0" style="1" hidden="1" customWidth="1"/>
    <col min="6658" max="6658" width="29.140625" style="1" customWidth="1"/>
    <col min="6659" max="6659" width="4.140625" style="1" customWidth="1"/>
    <col min="6660" max="6660" width="5" style="1" customWidth="1"/>
    <col min="6661" max="6661" width="4.140625" style="1" customWidth="1"/>
    <col min="6662" max="6662" width="10" style="1" customWidth="1"/>
    <col min="6663" max="6663" width="5.42578125" style="1" customWidth="1"/>
    <col min="6664" max="6664" width="10.5703125" style="1" customWidth="1"/>
    <col min="6665" max="6665" width="12.5703125" style="1" customWidth="1"/>
    <col min="6666" max="6666" width="6.28515625" style="1" customWidth="1"/>
    <col min="6667" max="6667" width="5.7109375" style="1" customWidth="1"/>
    <col min="6668" max="6668" width="9.5703125" style="1" customWidth="1"/>
    <col min="6669" max="6669" width="12.42578125" style="1" customWidth="1"/>
    <col min="6670" max="6670" width="6.42578125" style="1" customWidth="1"/>
    <col min="6671" max="6671" width="12.7109375" style="1" customWidth="1"/>
    <col min="6672" max="6672" width="16.85546875" style="1" customWidth="1"/>
    <col min="6673" max="6673" width="14.42578125" style="1" customWidth="1"/>
    <col min="6674" max="6674" width="13.42578125" style="1" customWidth="1"/>
    <col min="6675" max="6675" width="15" style="1" customWidth="1"/>
    <col min="6676" max="6676" width="25.28515625" style="1" customWidth="1"/>
    <col min="6677" max="6677" width="25.7109375" style="1" customWidth="1"/>
    <col min="6678" max="6912" width="9.140625" style="1"/>
    <col min="6913" max="6913" width="0" style="1" hidden="1" customWidth="1"/>
    <col min="6914" max="6914" width="29.140625" style="1" customWidth="1"/>
    <col min="6915" max="6915" width="4.140625" style="1" customWidth="1"/>
    <col min="6916" max="6916" width="5" style="1" customWidth="1"/>
    <col min="6917" max="6917" width="4.140625" style="1" customWidth="1"/>
    <col min="6918" max="6918" width="10" style="1" customWidth="1"/>
    <col min="6919" max="6919" width="5.42578125" style="1" customWidth="1"/>
    <col min="6920" max="6920" width="10.5703125" style="1" customWidth="1"/>
    <col min="6921" max="6921" width="12.5703125" style="1" customWidth="1"/>
    <col min="6922" max="6922" width="6.28515625" style="1" customWidth="1"/>
    <col min="6923" max="6923" width="5.7109375" style="1" customWidth="1"/>
    <col min="6924" max="6924" width="9.5703125" style="1" customWidth="1"/>
    <col min="6925" max="6925" width="12.42578125" style="1" customWidth="1"/>
    <col min="6926" max="6926" width="6.42578125" style="1" customWidth="1"/>
    <col min="6927" max="6927" width="12.7109375" style="1" customWidth="1"/>
    <col min="6928" max="6928" width="16.85546875" style="1" customWidth="1"/>
    <col min="6929" max="6929" width="14.42578125" style="1" customWidth="1"/>
    <col min="6930" max="6930" width="13.42578125" style="1" customWidth="1"/>
    <col min="6931" max="6931" width="15" style="1" customWidth="1"/>
    <col min="6932" max="6932" width="25.28515625" style="1" customWidth="1"/>
    <col min="6933" max="6933" width="25.7109375" style="1" customWidth="1"/>
    <col min="6934" max="7168" width="9.140625" style="1"/>
    <col min="7169" max="7169" width="0" style="1" hidden="1" customWidth="1"/>
    <col min="7170" max="7170" width="29.140625" style="1" customWidth="1"/>
    <col min="7171" max="7171" width="4.140625" style="1" customWidth="1"/>
    <col min="7172" max="7172" width="5" style="1" customWidth="1"/>
    <col min="7173" max="7173" width="4.140625" style="1" customWidth="1"/>
    <col min="7174" max="7174" width="10" style="1" customWidth="1"/>
    <col min="7175" max="7175" width="5.42578125" style="1" customWidth="1"/>
    <col min="7176" max="7176" width="10.5703125" style="1" customWidth="1"/>
    <col min="7177" max="7177" width="12.5703125" style="1" customWidth="1"/>
    <col min="7178" max="7178" width="6.28515625" style="1" customWidth="1"/>
    <col min="7179" max="7179" width="5.7109375" style="1" customWidth="1"/>
    <col min="7180" max="7180" width="9.5703125" style="1" customWidth="1"/>
    <col min="7181" max="7181" width="12.42578125" style="1" customWidth="1"/>
    <col min="7182" max="7182" width="6.42578125" style="1" customWidth="1"/>
    <col min="7183" max="7183" width="12.7109375" style="1" customWidth="1"/>
    <col min="7184" max="7184" width="16.85546875" style="1" customWidth="1"/>
    <col min="7185" max="7185" width="14.42578125" style="1" customWidth="1"/>
    <col min="7186" max="7186" width="13.42578125" style="1" customWidth="1"/>
    <col min="7187" max="7187" width="15" style="1" customWidth="1"/>
    <col min="7188" max="7188" width="25.28515625" style="1" customWidth="1"/>
    <col min="7189" max="7189" width="25.7109375" style="1" customWidth="1"/>
    <col min="7190" max="7424" width="9.140625" style="1"/>
    <col min="7425" max="7425" width="0" style="1" hidden="1" customWidth="1"/>
    <col min="7426" max="7426" width="29.140625" style="1" customWidth="1"/>
    <col min="7427" max="7427" width="4.140625" style="1" customWidth="1"/>
    <col min="7428" max="7428" width="5" style="1" customWidth="1"/>
    <col min="7429" max="7429" width="4.140625" style="1" customWidth="1"/>
    <col min="7430" max="7430" width="10" style="1" customWidth="1"/>
    <col min="7431" max="7431" width="5.42578125" style="1" customWidth="1"/>
    <col min="7432" max="7432" width="10.5703125" style="1" customWidth="1"/>
    <col min="7433" max="7433" width="12.5703125" style="1" customWidth="1"/>
    <col min="7434" max="7434" width="6.28515625" style="1" customWidth="1"/>
    <col min="7435" max="7435" width="5.7109375" style="1" customWidth="1"/>
    <col min="7436" max="7436" width="9.5703125" style="1" customWidth="1"/>
    <col min="7437" max="7437" width="12.42578125" style="1" customWidth="1"/>
    <col min="7438" max="7438" width="6.42578125" style="1" customWidth="1"/>
    <col min="7439" max="7439" width="12.7109375" style="1" customWidth="1"/>
    <col min="7440" max="7440" width="16.85546875" style="1" customWidth="1"/>
    <col min="7441" max="7441" width="14.42578125" style="1" customWidth="1"/>
    <col min="7442" max="7442" width="13.42578125" style="1" customWidth="1"/>
    <col min="7443" max="7443" width="15" style="1" customWidth="1"/>
    <col min="7444" max="7444" width="25.28515625" style="1" customWidth="1"/>
    <col min="7445" max="7445" width="25.7109375" style="1" customWidth="1"/>
    <col min="7446" max="7680" width="9.140625" style="1"/>
    <col min="7681" max="7681" width="0" style="1" hidden="1" customWidth="1"/>
    <col min="7682" max="7682" width="29.140625" style="1" customWidth="1"/>
    <col min="7683" max="7683" width="4.140625" style="1" customWidth="1"/>
    <col min="7684" max="7684" width="5" style="1" customWidth="1"/>
    <col min="7685" max="7685" width="4.140625" style="1" customWidth="1"/>
    <col min="7686" max="7686" width="10" style="1" customWidth="1"/>
    <col min="7687" max="7687" width="5.42578125" style="1" customWidth="1"/>
    <col min="7688" max="7688" width="10.5703125" style="1" customWidth="1"/>
    <col min="7689" max="7689" width="12.5703125" style="1" customWidth="1"/>
    <col min="7690" max="7690" width="6.28515625" style="1" customWidth="1"/>
    <col min="7691" max="7691" width="5.7109375" style="1" customWidth="1"/>
    <col min="7692" max="7692" width="9.5703125" style="1" customWidth="1"/>
    <col min="7693" max="7693" width="12.42578125" style="1" customWidth="1"/>
    <col min="7694" max="7694" width="6.42578125" style="1" customWidth="1"/>
    <col min="7695" max="7695" width="12.7109375" style="1" customWidth="1"/>
    <col min="7696" max="7696" width="16.85546875" style="1" customWidth="1"/>
    <col min="7697" max="7697" width="14.42578125" style="1" customWidth="1"/>
    <col min="7698" max="7698" width="13.42578125" style="1" customWidth="1"/>
    <col min="7699" max="7699" width="15" style="1" customWidth="1"/>
    <col min="7700" max="7700" width="25.28515625" style="1" customWidth="1"/>
    <col min="7701" max="7701" width="25.7109375" style="1" customWidth="1"/>
    <col min="7702" max="7936" width="9.140625" style="1"/>
    <col min="7937" max="7937" width="0" style="1" hidden="1" customWidth="1"/>
    <col min="7938" max="7938" width="29.140625" style="1" customWidth="1"/>
    <col min="7939" max="7939" width="4.140625" style="1" customWidth="1"/>
    <col min="7940" max="7940" width="5" style="1" customWidth="1"/>
    <col min="7941" max="7941" width="4.140625" style="1" customWidth="1"/>
    <col min="7942" max="7942" width="10" style="1" customWidth="1"/>
    <col min="7943" max="7943" width="5.42578125" style="1" customWidth="1"/>
    <col min="7944" max="7944" width="10.5703125" style="1" customWidth="1"/>
    <col min="7945" max="7945" width="12.5703125" style="1" customWidth="1"/>
    <col min="7946" max="7946" width="6.28515625" style="1" customWidth="1"/>
    <col min="7947" max="7947" width="5.7109375" style="1" customWidth="1"/>
    <col min="7948" max="7948" width="9.5703125" style="1" customWidth="1"/>
    <col min="7949" max="7949" width="12.42578125" style="1" customWidth="1"/>
    <col min="7950" max="7950" width="6.42578125" style="1" customWidth="1"/>
    <col min="7951" max="7951" width="12.7109375" style="1" customWidth="1"/>
    <col min="7952" max="7952" width="16.85546875" style="1" customWidth="1"/>
    <col min="7953" max="7953" width="14.42578125" style="1" customWidth="1"/>
    <col min="7954" max="7954" width="13.42578125" style="1" customWidth="1"/>
    <col min="7955" max="7955" width="15" style="1" customWidth="1"/>
    <col min="7956" max="7956" width="25.28515625" style="1" customWidth="1"/>
    <col min="7957" max="7957" width="25.7109375" style="1" customWidth="1"/>
    <col min="7958" max="8192" width="9.140625" style="1"/>
    <col min="8193" max="8193" width="0" style="1" hidden="1" customWidth="1"/>
    <col min="8194" max="8194" width="29.140625" style="1" customWidth="1"/>
    <col min="8195" max="8195" width="4.140625" style="1" customWidth="1"/>
    <col min="8196" max="8196" width="5" style="1" customWidth="1"/>
    <col min="8197" max="8197" width="4.140625" style="1" customWidth="1"/>
    <col min="8198" max="8198" width="10" style="1" customWidth="1"/>
    <col min="8199" max="8199" width="5.42578125" style="1" customWidth="1"/>
    <col min="8200" max="8200" width="10.5703125" style="1" customWidth="1"/>
    <col min="8201" max="8201" width="12.5703125" style="1" customWidth="1"/>
    <col min="8202" max="8202" width="6.28515625" style="1" customWidth="1"/>
    <col min="8203" max="8203" width="5.7109375" style="1" customWidth="1"/>
    <col min="8204" max="8204" width="9.5703125" style="1" customWidth="1"/>
    <col min="8205" max="8205" width="12.42578125" style="1" customWidth="1"/>
    <col min="8206" max="8206" width="6.42578125" style="1" customWidth="1"/>
    <col min="8207" max="8207" width="12.7109375" style="1" customWidth="1"/>
    <col min="8208" max="8208" width="16.85546875" style="1" customWidth="1"/>
    <col min="8209" max="8209" width="14.42578125" style="1" customWidth="1"/>
    <col min="8210" max="8210" width="13.42578125" style="1" customWidth="1"/>
    <col min="8211" max="8211" width="15" style="1" customWidth="1"/>
    <col min="8212" max="8212" width="25.28515625" style="1" customWidth="1"/>
    <col min="8213" max="8213" width="25.7109375" style="1" customWidth="1"/>
    <col min="8214" max="8448" width="9.140625" style="1"/>
    <col min="8449" max="8449" width="0" style="1" hidden="1" customWidth="1"/>
    <col min="8450" max="8450" width="29.140625" style="1" customWidth="1"/>
    <col min="8451" max="8451" width="4.140625" style="1" customWidth="1"/>
    <col min="8452" max="8452" width="5" style="1" customWidth="1"/>
    <col min="8453" max="8453" width="4.140625" style="1" customWidth="1"/>
    <col min="8454" max="8454" width="10" style="1" customWidth="1"/>
    <col min="8455" max="8455" width="5.42578125" style="1" customWidth="1"/>
    <col min="8456" max="8456" width="10.5703125" style="1" customWidth="1"/>
    <col min="8457" max="8457" width="12.5703125" style="1" customWidth="1"/>
    <col min="8458" max="8458" width="6.28515625" style="1" customWidth="1"/>
    <col min="8459" max="8459" width="5.7109375" style="1" customWidth="1"/>
    <col min="8460" max="8460" width="9.5703125" style="1" customWidth="1"/>
    <col min="8461" max="8461" width="12.42578125" style="1" customWidth="1"/>
    <col min="8462" max="8462" width="6.42578125" style="1" customWidth="1"/>
    <col min="8463" max="8463" width="12.7109375" style="1" customWidth="1"/>
    <col min="8464" max="8464" width="16.85546875" style="1" customWidth="1"/>
    <col min="8465" max="8465" width="14.42578125" style="1" customWidth="1"/>
    <col min="8466" max="8466" width="13.42578125" style="1" customWidth="1"/>
    <col min="8467" max="8467" width="15" style="1" customWidth="1"/>
    <col min="8468" max="8468" width="25.28515625" style="1" customWidth="1"/>
    <col min="8469" max="8469" width="25.7109375" style="1" customWidth="1"/>
    <col min="8470" max="8704" width="9.140625" style="1"/>
    <col min="8705" max="8705" width="0" style="1" hidden="1" customWidth="1"/>
    <col min="8706" max="8706" width="29.140625" style="1" customWidth="1"/>
    <col min="8707" max="8707" width="4.140625" style="1" customWidth="1"/>
    <col min="8708" max="8708" width="5" style="1" customWidth="1"/>
    <col min="8709" max="8709" width="4.140625" style="1" customWidth="1"/>
    <col min="8710" max="8710" width="10" style="1" customWidth="1"/>
    <col min="8711" max="8711" width="5.42578125" style="1" customWidth="1"/>
    <col min="8712" max="8712" width="10.5703125" style="1" customWidth="1"/>
    <col min="8713" max="8713" width="12.5703125" style="1" customWidth="1"/>
    <col min="8714" max="8714" width="6.28515625" style="1" customWidth="1"/>
    <col min="8715" max="8715" width="5.7109375" style="1" customWidth="1"/>
    <col min="8716" max="8716" width="9.5703125" style="1" customWidth="1"/>
    <col min="8717" max="8717" width="12.42578125" style="1" customWidth="1"/>
    <col min="8718" max="8718" width="6.42578125" style="1" customWidth="1"/>
    <col min="8719" max="8719" width="12.7109375" style="1" customWidth="1"/>
    <col min="8720" max="8720" width="16.85546875" style="1" customWidth="1"/>
    <col min="8721" max="8721" width="14.42578125" style="1" customWidth="1"/>
    <col min="8722" max="8722" width="13.42578125" style="1" customWidth="1"/>
    <col min="8723" max="8723" width="15" style="1" customWidth="1"/>
    <col min="8724" max="8724" width="25.28515625" style="1" customWidth="1"/>
    <col min="8725" max="8725" width="25.7109375" style="1" customWidth="1"/>
    <col min="8726" max="8960" width="9.140625" style="1"/>
    <col min="8961" max="8961" width="0" style="1" hidden="1" customWidth="1"/>
    <col min="8962" max="8962" width="29.140625" style="1" customWidth="1"/>
    <col min="8963" max="8963" width="4.140625" style="1" customWidth="1"/>
    <col min="8964" max="8964" width="5" style="1" customWidth="1"/>
    <col min="8965" max="8965" width="4.140625" style="1" customWidth="1"/>
    <col min="8966" max="8966" width="10" style="1" customWidth="1"/>
    <col min="8967" max="8967" width="5.42578125" style="1" customWidth="1"/>
    <col min="8968" max="8968" width="10.5703125" style="1" customWidth="1"/>
    <col min="8969" max="8969" width="12.5703125" style="1" customWidth="1"/>
    <col min="8970" max="8970" width="6.28515625" style="1" customWidth="1"/>
    <col min="8971" max="8971" width="5.7109375" style="1" customWidth="1"/>
    <col min="8972" max="8972" width="9.5703125" style="1" customWidth="1"/>
    <col min="8973" max="8973" width="12.42578125" style="1" customWidth="1"/>
    <col min="8974" max="8974" width="6.42578125" style="1" customWidth="1"/>
    <col min="8975" max="8975" width="12.7109375" style="1" customWidth="1"/>
    <col min="8976" max="8976" width="16.85546875" style="1" customWidth="1"/>
    <col min="8977" max="8977" width="14.42578125" style="1" customWidth="1"/>
    <col min="8978" max="8978" width="13.42578125" style="1" customWidth="1"/>
    <col min="8979" max="8979" width="15" style="1" customWidth="1"/>
    <col min="8980" max="8980" width="25.28515625" style="1" customWidth="1"/>
    <col min="8981" max="8981" width="25.7109375" style="1" customWidth="1"/>
    <col min="8982" max="9216" width="9.140625" style="1"/>
    <col min="9217" max="9217" width="0" style="1" hidden="1" customWidth="1"/>
    <col min="9218" max="9218" width="29.140625" style="1" customWidth="1"/>
    <col min="9219" max="9219" width="4.140625" style="1" customWidth="1"/>
    <col min="9220" max="9220" width="5" style="1" customWidth="1"/>
    <col min="9221" max="9221" width="4.140625" style="1" customWidth="1"/>
    <col min="9222" max="9222" width="10" style="1" customWidth="1"/>
    <col min="9223" max="9223" width="5.42578125" style="1" customWidth="1"/>
    <col min="9224" max="9224" width="10.5703125" style="1" customWidth="1"/>
    <col min="9225" max="9225" width="12.5703125" style="1" customWidth="1"/>
    <col min="9226" max="9226" width="6.28515625" style="1" customWidth="1"/>
    <col min="9227" max="9227" width="5.7109375" style="1" customWidth="1"/>
    <col min="9228" max="9228" width="9.5703125" style="1" customWidth="1"/>
    <col min="9229" max="9229" width="12.42578125" style="1" customWidth="1"/>
    <col min="9230" max="9230" width="6.42578125" style="1" customWidth="1"/>
    <col min="9231" max="9231" width="12.7109375" style="1" customWidth="1"/>
    <col min="9232" max="9232" width="16.85546875" style="1" customWidth="1"/>
    <col min="9233" max="9233" width="14.42578125" style="1" customWidth="1"/>
    <col min="9234" max="9234" width="13.42578125" style="1" customWidth="1"/>
    <col min="9235" max="9235" width="15" style="1" customWidth="1"/>
    <col min="9236" max="9236" width="25.28515625" style="1" customWidth="1"/>
    <col min="9237" max="9237" width="25.7109375" style="1" customWidth="1"/>
    <col min="9238" max="9472" width="9.140625" style="1"/>
    <col min="9473" max="9473" width="0" style="1" hidden="1" customWidth="1"/>
    <col min="9474" max="9474" width="29.140625" style="1" customWidth="1"/>
    <col min="9475" max="9475" width="4.140625" style="1" customWidth="1"/>
    <col min="9476" max="9476" width="5" style="1" customWidth="1"/>
    <col min="9477" max="9477" width="4.140625" style="1" customWidth="1"/>
    <col min="9478" max="9478" width="10" style="1" customWidth="1"/>
    <col min="9479" max="9479" width="5.42578125" style="1" customWidth="1"/>
    <col min="9480" max="9480" width="10.5703125" style="1" customWidth="1"/>
    <col min="9481" max="9481" width="12.5703125" style="1" customWidth="1"/>
    <col min="9482" max="9482" width="6.28515625" style="1" customWidth="1"/>
    <col min="9483" max="9483" width="5.7109375" style="1" customWidth="1"/>
    <col min="9484" max="9484" width="9.5703125" style="1" customWidth="1"/>
    <col min="9485" max="9485" width="12.42578125" style="1" customWidth="1"/>
    <col min="9486" max="9486" width="6.42578125" style="1" customWidth="1"/>
    <col min="9487" max="9487" width="12.7109375" style="1" customWidth="1"/>
    <col min="9488" max="9488" width="16.85546875" style="1" customWidth="1"/>
    <col min="9489" max="9489" width="14.42578125" style="1" customWidth="1"/>
    <col min="9490" max="9490" width="13.42578125" style="1" customWidth="1"/>
    <col min="9491" max="9491" width="15" style="1" customWidth="1"/>
    <col min="9492" max="9492" width="25.28515625" style="1" customWidth="1"/>
    <col min="9493" max="9493" width="25.7109375" style="1" customWidth="1"/>
    <col min="9494" max="9728" width="9.140625" style="1"/>
    <col min="9729" max="9729" width="0" style="1" hidden="1" customWidth="1"/>
    <col min="9730" max="9730" width="29.140625" style="1" customWidth="1"/>
    <col min="9731" max="9731" width="4.140625" style="1" customWidth="1"/>
    <col min="9732" max="9732" width="5" style="1" customWidth="1"/>
    <col min="9733" max="9733" width="4.140625" style="1" customWidth="1"/>
    <col min="9734" max="9734" width="10" style="1" customWidth="1"/>
    <col min="9735" max="9735" width="5.42578125" style="1" customWidth="1"/>
    <col min="9736" max="9736" width="10.5703125" style="1" customWidth="1"/>
    <col min="9737" max="9737" width="12.5703125" style="1" customWidth="1"/>
    <col min="9738" max="9738" width="6.28515625" style="1" customWidth="1"/>
    <col min="9739" max="9739" width="5.7109375" style="1" customWidth="1"/>
    <col min="9740" max="9740" width="9.5703125" style="1" customWidth="1"/>
    <col min="9741" max="9741" width="12.42578125" style="1" customWidth="1"/>
    <col min="9742" max="9742" width="6.42578125" style="1" customWidth="1"/>
    <col min="9743" max="9743" width="12.7109375" style="1" customWidth="1"/>
    <col min="9744" max="9744" width="16.85546875" style="1" customWidth="1"/>
    <col min="9745" max="9745" width="14.42578125" style="1" customWidth="1"/>
    <col min="9746" max="9746" width="13.42578125" style="1" customWidth="1"/>
    <col min="9747" max="9747" width="15" style="1" customWidth="1"/>
    <col min="9748" max="9748" width="25.28515625" style="1" customWidth="1"/>
    <col min="9749" max="9749" width="25.7109375" style="1" customWidth="1"/>
    <col min="9750" max="9984" width="9.140625" style="1"/>
    <col min="9985" max="9985" width="0" style="1" hidden="1" customWidth="1"/>
    <col min="9986" max="9986" width="29.140625" style="1" customWidth="1"/>
    <col min="9987" max="9987" width="4.140625" style="1" customWidth="1"/>
    <col min="9988" max="9988" width="5" style="1" customWidth="1"/>
    <col min="9989" max="9989" width="4.140625" style="1" customWidth="1"/>
    <col min="9990" max="9990" width="10" style="1" customWidth="1"/>
    <col min="9991" max="9991" width="5.42578125" style="1" customWidth="1"/>
    <col min="9992" max="9992" width="10.5703125" style="1" customWidth="1"/>
    <col min="9993" max="9993" width="12.5703125" style="1" customWidth="1"/>
    <col min="9994" max="9994" width="6.28515625" style="1" customWidth="1"/>
    <col min="9995" max="9995" width="5.7109375" style="1" customWidth="1"/>
    <col min="9996" max="9996" width="9.5703125" style="1" customWidth="1"/>
    <col min="9997" max="9997" width="12.42578125" style="1" customWidth="1"/>
    <col min="9998" max="9998" width="6.42578125" style="1" customWidth="1"/>
    <col min="9999" max="9999" width="12.7109375" style="1" customWidth="1"/>
    <col min="10000" max="10000" width="16.85546875" style="1" customWidth="1"/>
    <col min="10001" max="10001" width="14.42578125" style="1" customWidth="1"/>
    <col min="10002" max="10002" width="13.42578125" style="1" customWidth="1"/>
    <col min="10003" max="10003" width="15" style="1" customWidth="1"/>
    <col min="10004" max="10004" width="25.28515625" style="1" customWidth="1"/>
    <col min="10005" max="10005" width="25.7109375" style="1" customWidth="1"/>
    <col min="10006" max="10240" width="9.140625" style="1"/>
    <col min="10241" max="10241" width="0" style="1" hidden="1" customWidth="1"/>
    <col min="10242" max="10242" width="29.140625" style="1" customWidth="1"/>
    <col min="10243" max="10243" width="4.140625" style="1" customWidth="1"/>
    <col min="10244" max="10244" width="5" style="1" customWidth="1"/>
    <col min="10245" max="10245" width="4.140625" style="1" customWidth="1"/>
    <col min="10246" max="10246" width="10" style="1" customWidth="1"/>
    <col min="10247" max="10247" width="5.42578125" style="1" customWidth="1"/>
    <col min="10248" max="10248" width="10.5703125" style="1" customWidth="1"/>
    <col min="10249" max="10249" width="12.5703125" style="1" customWidth="1"/>
    <col min="10250" max="10250" width="6.28515625" style="1" customWidth="1"/>
    <col min="10251" max="10251" width="5.7109375" style="1" customWidth="1"/>
    <col min="10252" max="10252" width="9.5703125" style="1" customWidth="1"/>
    <col min="10253" max="10253" width="12.42578125" style="1" customWidth="1"/>
    <col min="10254" max="10254" width="6.42578125" style="1" customWidth="1"/>
    <col min="10255" max="10255" width="12.7109375" style="1" customWidth="1"/>
    <col min="10256" max="10256" width="16.85546875" style="1" customWidth="1"/>
    <col min="10257" max="10257" width="14.42578125" style="1" customWidth="1"/>
    <col min="10258" max="10258" width="13.42578125" style="1" customWidth="1"/>
    <col min="10259" max="10259" width="15" style="1" customWidth="1"/>
    <col min="10260" max="10260" width="25.28515625" style="1" customWidth="1"/>
    <col min="10261" max="10261" width="25.7109375" style="1" customWidth="1"/>
    <col min="10262" max="10496" width="9.140625" style="1"/>
    <col min="10497" max="10497" width="0" style="1" hidden="1" customWidth="1"/>
    <col min="10498" max="10498" width="29.140625" style="1" customWidth="1"/>
    <col min="10499" max="10499" width="4.140625" style="1" customWidth="1"/>
    <col min="10500" max="10500" width="5" style="1" customWidth="1"/>
    <col min="10501" max="10501" width="4.140625" style="1" customWidth="1"/>
    <col min="10502" max="10502" width="10" style="1" customWidth="1"/>
    <col min="10503" max="10503" width="5.42578125" style="1" customWidth="1"/>
    <col min="10504" max="10504" width="10.5703125" style="1" customWidth="1"/>
    <col min="10505" max="10505" width="12.5703125" style="1" customWidth="1"/>
    <col min="10506" max="10506" width="6.28515625" style="1" customWidth="1"/>
    <col min="10507" max="10507" width="5.7109375" style="1" customWidth="1"/>
    <col min="10508" max="10508" width="9.5703125" style="1" customWidth="1"/>
    <col min="10509" max="10509" width="12.42578125" style="1" customWidth="1"/>
    <col min="10510" max="10510" width="6.42578125" style="1" customWidth="1"/>
    <col min="10511" max="10511" width="12.7109375" style="1" customWidth="1"/>
    <col min="10512" max="10512" width="16.85546875" style="1" customWidth="1"/>
    <col min="10513" max="10513" width="14.42578125" style="1" customWidth="1"/>
    <col min="10514" max="10514" width="13.42578125" style="1" customWidth="1"/>
    <col min="10515" max="10515" width="15" style="1" customWidth="1"/>
    <col min="10516" max="10516" width="25.28515625" style="1" customWidth="1"/>
    <col min="10517" max="10517" width="25.7109375" style="1" customWidth="1"/>
    <col min="10518" max="10752" width="9.140625" style="1"/>
    <col min="10753" max="10753" width="0" style="1" hidden="1" customWidth="1"/>
    <col min="10754" max="10754" width="29.140625" style="1" customWidth="1"/>
    <col min="10755" max="10755" width="4.140625" style="1" customWidth="1"/>
    <col min="10756" max="10756" width="5" style="1" customWidth="1"/>
    <col min="10757" max="10757" width="4.140625" style="1" customWidth="1"/>
    <col min="10758" max="10758" width="10" style="1" customWidth="1"/>
    <col min="10759" max="10759" width="5.42578125" style="1" customWidth="1"/>
    <col min="10760" max="10760" width="10.5703125" style="1" customWidth="1"/>
    <col min="10761" max="10761" width="12.5703125" style="1" customWidth="1"/>
    <col min="10762" max="10762" width="6.28515625" style="1" customWidth="1"/>
    <col min="10763" max="10763" width="5.7109375" style="1" customWidth="1"/>
    <col min="10764" max="10764" width="9.5703125" style="1" customWidth="1"/>
    <col min="10765" max="10765" width="12.42578125" style="1" customWidth="1"/>
    <col min="10766" max="10766" width="6.42578125" style="1" customWidth="1"/>
    <col min="10767" max="10767" width="12.7109375" style="1" customWidth="1"/>
    <col min="10768" max="10768" width="16.85546875" style="1" customWidth="1"/>
    <col min="10769" max="10769" width="14.42578125" style="1" customWidth="1"/>
    <col min="10770" max="10770" width="13.42578125" style="1" customWidth="1"/>
    <col min="10771" max="10771" width="15" style="1" customWidth="1"/>
    <col min="10772" max="10772" width="25.28515625" style="1" customWidth="1"/>
    <col min="10773" max="10773" width="25.7109375" style="1" customWidth="1"/>
    <col min="10774" max="11008" width="9.140625" style="1"/>
    <col min="11009" max="11009" width="0" style="1" hidden="1" customWidth="1"/>
    <col min="11010" max="11010" width="29.140625" style="1" customWidth="1"/>
    <col min="11011" max="11011" width="4.140625" style="1" customWidth="1"/>
    <col min="11012" max="11012" width="5" style="1" customWidth="1"/>
    <col min="11013" max="11013" width="4.140625" style="1" customWidth="1"/>
    <col min="11014" max="11014" width="10" style="1" customWidth="1"/>
    <col min="11015" max="11015" width="5.42578125" style="1" customWidth="1"/>
    <col min="11016" max="11016" width="10.5703125" style="1" customWidth="1"/>
    <col min="11017" max="11017" width="12.5703125" style="1" customWidth="1"/>
    <col min="11018" max="11018" width="6.28515625" style="1" customWidth="1"/>
    <col min="11019" max="11019" width="5.7109375" style="1" customWidth="1"/>
    <col min="11020" max="11020" width="9.5703125" style="1" customWidth="1"/>
    <col min="11021" max="11021" width="12.42578125" style="1" customWidth="1"/>
    <col min="11022" max="11022" width="6.42578125" style="1" customWidth="1"/>
    <col min="11023" max="11023" width="12.7109375" style="1" customWidth="1"/>
    <col min="11024" max="11024" width="16.85546875" style="1" customWidth="1"/>
    <col min="11025" max="11025" width="14.42578125" style="1" customWidth="1"/>
    <col min="11026" max="11026" width="13.42578125" style="1" customWidth="1"/>
    <col min="11027" max="11027" width="15" style="1" customWidth="1"/>
    <col min="11028" max="11028" width="25.28515625" style="1" customWidth="1"/>
    <col min="11029" max="11029" width="25.7109375" style="1" customWidth="1"/>
    <col min="11030" max="11264" width="9.140625" style="1"/>
    <col min="11265" max="11265" width="0" style="1" hidden="1" customWidth="1"/>
    <col min="11266" max="11266" width="29.140625" style="1" customWidth="1"/>
    <col min="11267" max="11267" width="4.140625" style="1" customWidth="1"/>
    <col min="11268" max="11268" width="5" style="1" customWidth="1"/>
    <col min="11269" max="11269" width="4.140625" style="1" customWidth="1"/>
    <col min="11270" max="11270" width="10" style="1" customWidth="1"/>
    <col min="11271" max="11271" width="5.42578125" style="1" customWidth="1"/>
    <col min="11272" max="11272" width="10.5703125" style="1" customWidth="1"/>
    <col min="11273" max="11273" width="12.5703125" style="1" customWidth="1"/>
    <col min="11274" max="11274" width="6.28515625" style="1" customWidth="1"/>
    <col min="11275" max="11275" width="5.7109375" style="1" customWidth="1"/>
    <col min="11276" max="11276" width="9.5703125" style="1" customWidth="1"/>
    <col min="11277" max="11277" width="12.42578125" style="1" customWidth="1"/>
    <col min="11278" max="11278" width="6.42578125" style="1" customWidth="1"/>
    <col min="11279" max="11279" width="12.7109375" style="1" customWidth="1"/>
    <col min="11280" max="11280" width="16.85546875" style="1" customWidth="1"/>
    <col min="11281" max="11281" width="14.42578125" style="1" customWidth="1"/>
    <col min="11282" max="11282" width="13.42578125" style="1" customWidth="1"/>
    <col min="11283" max="11283" width="15" style="1" customWidth="1"/>
    <col min="11284" max="11284" width="25.28515625" style="1" customWidth="1"/>
    <col min="11285" max="11285" width="25.7109375" style="1" customWidth="1"/>
    <col min="11286" max="11520" width="9.140625" style="1"/>
    <col min="11521" max="11521" width="0" style="1" hidden="1" customWidth="1"/>
    <col min="11522" max="11522" width="29.140625" style="1" customWidth="1"/>
    <col min="11523" max="11523" width="4.140625" style="1" customWidth="1"/>
    <col min="11524" max="11524" width="5" style="1" customWidth="1"/>
    <col min="11525" max="11525" width="4.140625" style="1" customWidth="1"/>
    <col min="11526" max="11526" width="10" style="1" customWidth="1"/>
    <col min="11527" max="11527" width="5.42578125" style="1" customWidth="1"/>
    <col min="11528" max="11528" width="10.5703125" style="1" customWidth="1"/>
    <col min="11529" max="11529" width="12.5703125" style="1" customWidth="1"/>
    <col min="11530" max="11530" width="6.28515625" style="1" customWidth="1"/>
    <col min="11531" max="11531" width="5.7109375" style="1" customWidth="1"/>
    <col min="11532" max="11532" width="9.5703125" style="1" customWidth="1"/>
    <col min="11533" max="11533" width="12.42578125" style="1" customWidth="1"/>
    <col min="11534" max="11534" width="6.42578125" style="1" customWidth="1"/>
    <col min="11535" max="11535" width="12.7109375" style="1" customWidth="1"/>
    <col min="11536" max="11536" width="16.85546875" style="1" customWidth="1"/>
    <col min="11537" max="11537" width="14.42578125" style="1" customWidth="1"/>
    <col min="11538" max="11538" width="13.42578125" style="1" customWidth="1"/>
    <col min="11539" max="11539" width="15" style="1" customWidth="1"/>
    <col min="11540" max="11540" width="25.28515625" style="1" customWidth="1"/>
    <col min="11541" max="11541" width="25.7109375" style="1" customWidth="1"/>
    <col min="11542" max="11776" width="9.140625" style="1"/>
    <col min="11777" max="11777" width="0" style="1" hidden="1" customWidth="1"/>
    <col min="11778" max="11778" width="29.140625" style="1" customWidth="1"/>
    <col min="11779" max="11779" width="4.140625" style="1" customWidth="1"/>
    <col min="11780" max="11780" width="5" style="1" customWidth="1"/>
    <col min="11781" max="11781" width="4.140625" style="1" customWidth="1"/>
    <col min="11782" max="11782" width="10" style="1" customWidth="1"/>
    <col min="11783" max="11783" width="5.42578125" style="1" customWidth="1"/>
    <col min="11784" max="11784" width="10.5703125" style="1" customWidth="1"/>
    <col min="11785" max="11785" width="12.5703125" style="1" customWidth="1"/>
    <col min="11786" max="11786" width="6.28515625" style="1" customWidth="1"/>
    <col min="11787" max="11787" width="5.7109375" style="1" customWidth="1"/>
    <col min="11788" max="11788" width="9.5703125" style="1" customWidth="1"/>
    <col min="11789" max="11789" width="12.42578125" style="1" customWidth="1"/>
    <col min="11790" max="11790" width="6.42578125" style="1" customWidth="1"/>
    <col min="11791" max="11791" width="12.7109375" style="1" customWidth="1"/>
    <col min="11792" max="11792" width="16.85546875" style="1" customWidth="1"/>
    <col min="11793" max="11793" width="14.42578125" style="1" customWidth="1"/>
    <col min="11794" max="11794" width="13.42578125" style="1" customWidth="1"/>
    <col min="11795" max="11795" width="15" style="1" customWidth="1"/>
    <col min="11796" max="11796" width="25.28515625" style="1" customWidth="1"/>
    <col min="11797" max="11797" width="25.7109375" style="1" customWidth="1"/>
    <col min="11798" max="12032" width="9.140625" style="1"/>
    <col min="12033" max="12033" width="0" style="1" hidden="1" customWidth="1"/>
    <col min="12034" max="12034" width="29.140625" style="1" customWidth="1"/>
    <col min="12035" max="12035" width="4.140625" style="1" customWidth="1"/>
    <col min="12036" max="12036" width="5" style="1" customWidth="1"/>
    <col min="12037" max="12037" width="4.140625" style="1" customWidth="1"/>
    <col min="12038" max="12038" width="10" style="1" customWidth="1"/>
    <col min="12039" max="12039" width="5.42578125" style="1" customWidth="1"/>
    <col min="12040" max="12040" width="10.5703125" style="1" customWidth="1"/>
    <col min="12041" max="12041" width="12.5703125" style="1" customWidth="1"/>
    <col min="12042" max="12042" width="6.28515625" style="1" customWidth="1"/>
    <col min="12043" max="12043" width="5.7109375" style="1" customWidth="1"/>
    <col min="12044" max="12044" width="9.5703125" style="1" customWidth="1"/>
    <col min="12045" max="12045" width="12.42578125" style="1" customWidth="1"/>
    <col min="12046" max="12046" width="6.42578125" style="1" customWidth="1"/>
    <col min="12047" max="12047" width="12.7109375" style="1" customWidth="1"/>
    <col min="12048" max="12048" width="16.85546875" style="1" customWidth="1"/>
    <col min="12049" max="12049" width="14.42578125" style="1" customWidth="1"/>
    <col min="12050" max="12050" width="13.42578125" style="1" customWidth="1"/>
    <col min="12051" max="12051" width="15" style="1" customWidth="1"/>
    <col min="12052" max="12052" width="25.28515625" style="1" customWidth="1"/>
    <col min="12053" max="12053" width="25.7109375" style="1" customWidth="1"/>
    <col min="12054" max="12288" width="9.140625" style="1"/>
    <col min="12289" max="12289" width="0" style="1" hidden="1" customWidth="1"/>
    <col min="12290" max="12290" width="29.140625" style="1" customWidth="1"/>
    <col min="12291" max="12291" width="4.140625" style="1" customWidth="1"/>
    <col min="12292" max="12292" width="5" style="1" customWidth="1"/>
    <col min="12293" max="12293" width="4.140625" style="1" customWidth="1"/>
    <col min="12294" max="12294" width="10" style="1" customWidth="1"/>
    <col min="12295" max="12295" width="5.42578125" style="1" customWidth="1"/>
    <col min="12296" max="12296" width="10.5703125" style="1" customWidth="1"/>
    <col min="12297" max="12297" width="12.5703125" style="1" customWidth="1"/>
    <col min="12298" max="12298" width="6.28515625" style="1" customWidth="1"/>
    <col min="12299" max="12299" width="5.7109375" style="1" customWidth="1"/>
    <col min="12300" max="12300" width="9.5703125" style="1" customWidth="1"/>
    <col min="12301" max="12301" width="12.42578125" style="1" customWidth="1"/>
    <col min="12302" max="12302" width="6.42578125" style="1" customWidth="1"/>
    <col min="12303" max="12303" width="12.7109375" style="1" customWidth="1"/>
    <col min="12304" max="12304" width="16.85546875" style="1" customWidth="1"/>
    <col min="12305" max="12305" width="14.42578125" style="1" customWidth="1"/>
    <col min="12306" max="12306" width="13.42578125" style="1" customWidth="1"/>
    <col min="12307" max="12307" width="15" style="1" customWidth="1"/>
    <col min="12308" max="12308" width="25.28515625" style="1" customWidth="1"/>
    <col min="12309" max="12309" width="25.7109375" style="1" customWidth="1"/>
    <col min="12310" max="12544" width="9.140625" style="1"/>
    <col min="12545" max="12545" width="0" style="1" hidden="1" customWidth="1"/>
    <col min="12546" max="12546" width="29.140625" style="1" customWidth="1"/>
    <col min="12547" max="12547" width="4.140625" style="1" customWidth="1"/>
    <col min="12548" max="12548" width="5" style="1" customWidth="1"/>
    <col min="12549" max="12549" width="4.140625" style="1" customWidth="1"/>
    <col min="12550" max="12550" width="10" style="1" customWidth="1"/>
    <col min="12551" max="12551" width="5.42578125" style="1" customWidth="1"/>
    <col min="12552" max="12552" width="10.5703125" style="1" customWidth="1"/>
    <col min="12553" max="12553" width="12.5703125" style="1" customWidth="1"/>
    <col min="12554" max="12554" width="6.28515625" style="1" customWidth="1"/>
    <col min="12555" max="12555" width="5.7109375" style="1" customWidth="1"/>
    <col min="12556" max="12556" width="9.5703125" style="1" customWidth="1"/>
    <col min="12557" max="12557" width="12.42578125" style="1" customWidth="1"/>
    <col min="12558" max="12558" width="6.42578125" style="1" customWidth="1"/>
    <col min="12559" max="12559" width="12.7109375" style="1" customWidth="1"/>
    <col min="12560" max="12560" width="16.85546875" style="1" customWidth="1"/>
    <col min="12561" max="12561" width="14.42578125" style="1" customWidth="1"/>
    <col min="12562" max="12562" width="13.42578125" style="1" customWidth="1"/>
    <col min="12563" max="12563" width="15" style="1" customWidth="1"/>
    <col min="12564" max="12564" width="25.28515625" style="1" customWidth="1"/>
    <col min="12565" max="12565" width="25.7109375" style="1" customWidth="1"/>
    <col min="12566" max="12800" width="9.140625" style="1"/>
    <col min="12801" max="12801" width="0" style="1" hidden="1" customWidth="1"/>
    <col min="12802" max="12802" width="29.140625" style="1" customWidth="1"/>
    <col min="12803" max="12803" width="4.140625" style="1" customWidth="1"/>
    <col min="12804" max="12804" width="5" style="1" customWidth="1"/>
    <col min="12805" max="12805" width="4.140625" style="1" customWidth="1"/>
    <col min="12806" max="12806" width="10" style="1" customWidth="1"/>
    <col min="12807" max="12807" width="5.42578125" style="1" customWidth="1"/>
    <col min="12808" max="12808" width="10.5703125" style="1" customWidth="1"/>
    <col min="12809" max="12809" width="12.5703125" style="1" customWidth="1"/>
    <col min="12810" max="12810" width="6.28515625" style="1" customWidth="1"/>
    <col min="12811" max="12811" width="5.7109375" style="1" customWidth="1"/>
    <col min="12812" max="12812" width="9.5703125" style="1" customWidth="1"/>
    <col min="12813" max="12813" width="12.42578125" style="1" customWidth="1"/>
    <col min="12814" max="12814" width="6.42578125" style="1" customWidth="1"/>
    <col min="12815" max="12815" width="12.7109375" style="1" customWidth="1"/>
    <col min="12816" max="12816" width="16.85546875" style="1" customWidth="1"/>
    <col min="12817" max="12817" width="14.42578125" style="1" customWidth="1"/>
    <col min="12818" max="12818" width="13.42578125" style="1" customWidth="1"/>
    <col min="12819" max="12819" width="15" style="1" customWidth="1"/>
    <col min="12820" max="12820" width="25.28515625" style="1" customWidth="1"/>
    <col min="12821" max="12821" width="25.7109375" style="1" customWidth="1"/>
    <col min="12822" max="13056" width="9.140625" style="1"/>
    <col min="13057" max="13057" width="0" style="1" hidden="1" customWidth="1"/>
    <col min="13058" max="13058" width="29.140625" style="1" customWidth="1"/>
    <col min="13059" max="13059" width="4.140625" style="1" customWidth="1"/>
    <col min="13060" max="13060" width="5" style="1" customWidth="1"/>
    <col min="13061" max="13061" width="4.140625" style="1" customWidth="1"/>
    <col min="13062" max="13062" width="10" style="1" customWidth="1"/>
    <col min="13063" max="13063" width="5.42578125" style="1" customWidth="1"/>
    <col min="13064" max="13064" width="10.5703125" style="1" customWidth="1"/>
    <col min="13065" max="13065" width="12.5703125" style="1" customWidth="1"/>
    <col min="13066" max="13066" width="6.28515625" style="1" customWidth="1"/>
    <col min="13067" max="13067" width="5.7109375" style="1" customWidth="1"/>
    <col min="13068" max="13068" width="9.5703125" style="1" customWidth="1"/>
    <col min="13069" max="13069" width="12.42578125" style="1" customWidth="1"/>
    <col min="13070" max="13070" width="6.42578125" style="1" customWidth="1"/>
    <col min="13071" max="13071" width="12.7109375" style="1" customWidth="1"/>
    <col min="13072" max="13072" width="16.85546875" style="1" customWidth="1"/>
    <col min="13073" max="13073" width="14.42578125" style="1" customWidth="1"/>
    <col min="13074" max="13074" width="13.42578125" style="1" customWidth="1"/>
    <col min="13075" max="13075" width="15" style="1" customWidth="1"/>
    <col min="13076" max="13076" width="25.28515625" style="1" customWidth="1"/>
    <col min="13077" max="13077" width="25.7109375" style="1" customWidth="1"/>
    <col min="13078" max="13312" width="9.140625" style="1"/>
    <col min="13313" max="13313" width="0" style="1" hidden="1" customWidth="1"/>
    <col min="13314" max="13314" width="29.140625" style="1" customWidth="1"/>
    <col min="13315" max="13315" width="4.140625" style="1" customWidth="1"/>
    <col min="13316" max="13316" width="5" style="1" customWidth="1"/>
    <col min="13317" max="13317" width="4.140625" style="1" customWidth="1"/>
    <col min="13318" max="13318" width="10" style="1" customWidth="1"/>
    <col min="13319" max="13319" width="5.42578125" style="1" customWidth="1"/>
    <col min="13320" max="13320" width="10.5703125" style="1" customWidth="1"/>
    <col min="13321" max="13321" width="12.5703125" style="1" customWidth="1"/>
    <col min="13322" max="13322" width="6.28515625" style="1" customWidth="1"/>
    <col min="13323" max="13323" width="5.7109375" style="1" customWidth="1"/>
    <col min="13324" max="13324" width="9.5703125" style="1" customWidth="1"/>
    <col min="13325" max="13325" width="12.42578125" style="1" customWidth="1"/>
    <col min="13326" max="13326" width="6.42578125" style="1" customWidth="1"/>
    <col min="13327" max="13327" width="12.7109375" style="1" customWidth="1"/>
    <col min="13328" max="13328" width="16.85546875" style="1" customWidth="1"/>
    <col min="13329" max="13329" width="14.42578125" style="1" customWidth="1"/>
    <col min="13330" max="13330" width="13.42578125" style="1" customWidth="1"/>
    <col min="13331" max="13331" width="15" style="1" customWidth="1"/>
    <col min="13332" max="13332" width="25.28515625" style="1" customWidth="1"/>
    <col min="13333" max="13333" width="25.7109375" style="1" customWidth="1"/>
    <col min="13334" max="13568" width="9.140625" style="1"/>
    <col min="13569" max="13569" width="0" style="1" hidden="1" customWidth="1"/>
    <col min="13570" max="13570" width="29.140625" style="1" customWidth="1"/>
    <col min="13571" max="13571" width="4.140625" style="1" customWidth="1"/>
    <col min="13572" max="13572" width="5" style="1" customWidth="1"/>
    <col min="13573" max="13573" width="4.140625" style="1" customWidth="1"/>
    <col min="13574" max="13574" width="10" style="1" customWidth="1"/>
    <col min="13575" max="13575" width="5.42578125" style="1" customWidth="1"/>
    <col min="13576" max="13576" width="10.5703125" style="1" customWidth="1"/>
    <col min="13577" max="13577" width="12.5703125" style="1" customWidth="1"/>
    <col min="13578" max="13578" width="6.28515625" style="1" customWidth="1"/>
    <col min="13579" max="13579" width="5.7109375" style="1" customWidth="1"/>
    <col min="13580" max="13580" width="9.5703125" style="1" customWidth="1"/>
    <col min="13581" max="13581" width="12.42578125" style="1" customWidth="1"/>
    <col min="13582" max="13582" width="6.42578125" style="1" customWidth="1"/>
    <col min="13583" max="13583" width="12.7109375" style="1" customWidth="1"/>
    <col min="13584" max="13584" width="16.85546875" style="1" customWidth="1"/>
    <col min="13585" max="13585" width="14.42578125" style="1" customWidth="1"/>
    <col min="13586" max="13586" width="13.42578125" style="1" customWidth="1"/>
    <col min="13587" max="13587" width="15" style="1" customWidth="1"/>
    <col min="13588" max="13588" width="25.28515625" style="1" customWidth="1"/>
    <col min="13589" max="13589" width="25.7109375" style="1" customWidth="1"/>
    <col min="13590" max="13824" width="9.140625" style="1"/>
    <col min="13825" max="13825" width="0" style="1" hidden="1" customWidth="1"/>
    <col min="13826" max="13826" width="29.140625" style="1" customWidth="1"/>
    <col min="13827" max="13827" width="4.140625" style="1" customWidth="1"/>
    <col min="13828" max="13828" width="5" style="1" customWidth="1"/>
    <col min="13829" max="13829" width="4.140625" style="1" customWidth="1"/>
    <col min="13830" max="13830" width="10" style="1" customWidth="1"/>
    <col min="13831" max="13831" width="5.42578125" style="1" customWidth="1"/>
    <col min="13832" max="13832" width="10.5703125" style="1" customWidth="1"/>
    <col min="13833" max="13833" width="12.5703125" style="1" customWidth="1"/>
    <col min="13834" max="13834" width="6.28515625" style="1" customWidth="1"/>
    <col min="13835" max="13835" width="5.7109375" style="1" customWidth="1"/>
    <col min="13836" max="13836" width="9.5703125" style="1" customWidth="1"/>
    <col min="13837" max="13837" width="12.42578125" style="1" customWidth="1"/>
    <col min="13838" max="13838" width="6.42578125" style="1" customWidth="1"/>
    <col min="13839" max="13839" width="12.7109375" style="1" customWidth="1"/>
    <col min="13840" max="13840" width="16.85546875" style="1" customWidth="1"/>
    <col min="13841" max="13841" width="14.42578125" style="1" customWidth="1"/>
    <col min="13842" max="13842" width="13.42578125" style="1" customWidth="1"/>
    <col min="13843" max="13843" width="15" style="1" customWidth="1"/>
    <col min="13844" max="13844" width="25.28515625" style="1" customWidth="1"/>
    <col min="13845" max="13845" width="25.7109375" style="1" customWidth="1"/>
    <col min="13846" max="14080" width="9.140625" style="1"/>
    <col min="14081" max="14081" width="0" style="1" hidden="1" customWidth="1"/>
    <col min="14082" max="14082" width="29.140625" style="1" customWidth="1"/>
    <col min="14083" max="14083" width="4.140625" style="1" customWidth="1"/>
    <col min="14084" max="14084" width="5" style="1" customWidth="1"/>
    <col min="14085" max="14085" width="4.140625" style="1" customWidth="1"/>
    <col min="14086" max="14086" width="10" style="1" customWidth="1"/>
    <col min="14087" max="14087" width="5.42578125" style="1" customWidth="1"/>
    <col min="14088" max="14088" width="10.5703125" style="1" customWidth="1"/>
    <col min="14089" max="14089" width="12.5703125" style="1" customWidth="1"/>
    <col min="14090" max="14090" width="6.28515625" style="1" customWidth="1"/>
    <col min="14091" max="14091" width="5.7109375" style="1" customWidth="1"/>
    <col min="14092" max="14092" width="9.5703125" style="1" customWidth="1"/>
    <col min="14093" max="14093" width="12.42578125" style="1" customWidth="1"/>
    <col min="14094" max="14094" width="6.42578125" style="1" customWidth="1"/>
    <col min="14095" max="14095" width="12.7109375" style="1" customWidth="1"/>
    <col min="14096" max="14096" width="16.85546875" style="1" customWidth="1"/>
    <col min="14097" max="14097" width="14.42578125" style="1" customWidth="1"/>
    <col min="14098" max="14098" width="13.42578125" style="1" customWidth="1"/>
    <col min="14099" max="14099" width="15" style="1" customWidth="1"/>
    <col min="14100" max="14100" width="25.28515625" style="1" customWidth="1"/>
    <col min="14101" max="14101" width="25.7109375" style="1" customWidth="1"/>
    <col min="14102" max="14336" width="9.140625" style="1"/>
    <col min="14337" max="14337" width="0" style="1" hidden="1" customWidth="1"/>
    <col min="14338" max="14338" width="29.140625" style="1" customWidth="1"/>
    <col min="14339" max="14339" width="4.140625" style="1" customWidth="1"/>
    <col min="14340" max="14340" width="5" style="1" customWidth="1"/>
    <col min="14341" max="14341" width="4.140625" style="1" customWidth="1"/>
    <col min="14342" max="14342" width="10" style="1" customWidth="1"/>
    <col min="14343" max="14343" width="5.42578125" style="1" customWidth="1"/>
    <col min="14344" max="14344" width="10.5703125" style="1" customWidth="1"/>
    <col min="14345" max="14345" width="12.5703125" style="1" customWidth="1"/>
    <col min="14346" max="14346" width="6.28515625" style="1" customWidth="1"/>
    <col min="14347" max="14347" width="5.7109375" style="1" customWidth="1"/>
    <col min="14348" max="14348" width="9.5703125" style="1" customWidth="1"/>
    <col min="14349" max="14349" width="12.42578125" style="1" customWidth="1"/>
    <col min="14350" max="14350" width="6.42578125" style="1" customWidth="1"/>
    <col min="14351" max="14351" width="12.7109375" style="1" customWidth="1"/>
    <col min="14352" max="14352" width="16.85546875" style="1" customWidth="1"/>
    <col min="14353" max="14353" width="14.42578125" style="1" customWidth="1"/>
    <col min="14354" max="14354" width="13.42578125" style="1" customWidth="1"/>
    <col min="14355" max="14355" width="15" style="1" customWidth="1"/>
    <col min="14356" max="14356" width="25.28515625" style="1" customWidth="1"/>
    <col min="14357" max="14357" width="25.7109375" style="1" customWidth="1"/>
    <col min="14358" max="14592" width="9.140625" style="1"/>
    <col min="14593" max="14593" width="0" style="1" hidden="1" customWidth="1"/>
    <col min="14594" max="14594" width="29.140625" style="1" customWidth="1"/>
    <col min="14595" max="14595" width="4.140625" style="1" customWidth="1"/>
    <col min="14596" max="14596" width="5" style="1" customWidth="1"/>
    <col min="14597" max="14597" width="4.140625" style="1" customWidth="1"/>
    <col min="14598" max="14598" width="10" style="1" customWidth="1"/>
    <col min="14599" max="14599" width="5.42578125" style="1" customWidth="1"/>
    <col min="14600" max="14600" width="10.5703125" style="1" customWidth="1"/>
    <col min="14601" max="14601" width="12.5703125" style="1" customWidth="1"/>
    <col min="14602" max="14602" width="6.28515625" style="1" customWidth="1"/>
    <col min="14603" max="14603" width="5.7109375" style="1" customWidth="1"/>
    <col min="14604" max="14604" width="9.5703125" style="1" customWidth="1"/>
    <col min="14605" max="14605" width="12.42578125" style="1" customWidth="1"/>
    <col min="14606" max="14606" width="6.42578125" style="1" customWidth="1"/>
    <col min="14607" max="14607" width="12.7109375" style="1" customWidth="1"/>
    <col min="14608" max="14608" width="16.85546875" style="1" customWidth="1"/>
    <col min="14609" max="14609" width="14.42578125" style="1" customWidth="1"/>
    <col min="14610" max="14610" width="13.42578125" style="1" customWidth="1"/>
    <col min="14611" max="14611" width="15" style="1" customWidth="1"/>
    <col min="14612" max="14612" width="25.28515625" style="1" customWidth="1"/>
    <col min="14613" max="14613" width="25.7109375" style="1" customWidth="1"/>
    <col min="14614" max="14848" width="9.140625" style="1"/>
    <col min="14849" max="14849" width="0" style="1" hidden="1" customWidth="1"/>
    <col min="14850" max="14850" width="29.140625" style="1" customWidth="1"/>
    <col min="14851" max="14851" width="4.140625" style="1" customWidth="1"/>
    <col min="14852" max="14852" width="5" style="1" customWidth="1"/>
    <col min="14853" max="14853" width="4.140625" style="1" customWidth="1"/>
    <col min="14854" max="14854" width="10" style="1" customWidth="1"/>
    <col min="14855" max="14855" width="5.42578125" style="1" customWidth="1"/>
    <col min="14856" max="14856" width="10.5703125" style="1" customWidth="1"/>
    <col min="14857" max="14857" width="12.5703125" style="1" customWidth="1"/>
    <col min="14858" max="14858" width="6.28515625" style="1" customWidth="1"/>
    <col min="14859" max="14859" width="5.7109375" style="1" customWidth="1"/>
    <col min="14860" max="14860" width="9.5703125" style="1" customWidth="1"/>
    <col min="14861" max="14861" width="12.42578125" style="1" customWidth="1"/>
    <col min="14862" max="14862" width="6.42578125" style="1" customWidth="1"/>
    <col min="14863" max="14863" width="12.7109375" style="1" customWidth="1"/>
    <col min="14864" max="14864" width="16.85546875" style="1" customWidth="1"/>
    <col min="14865" max="14865" width="14.42578125" style="1" customWidth="1"/>
    <col min="14866" max="14866" width="13.42578125" style="1" customWidth="1"/>
    <col min="14867" max="14867" width="15" style="1" customWidth="1"/>
    <col min="14868" max="14868" width="25.28515625" style="1" customWidth="1"/>
    <col min="14869" max="14869" width="25.7109375" style="1" customWidth="1"/>
    <col min="14870" max="15104" width="9.140625" style="1"/>
    <col min="15105" max="15105" width="0" style="1" hidden="1" customWidth="1"/>
    <col min="15106" max="15106" width="29.140625" style="1" customWidth="1"/>
    <col min="15107" max="15107" width="4.140625" style="1" customWidth="1"/>
    <col min="15108" max="15108" width="5" style="1" customWidth="1"/>
    <col min="15109" max="15109" width="4.140625" style="1" customWidth="1"/>
    <col min="15110" max="15110" width="10" style="1" customWidth="1"/>
    <col min="15111" max="15111" width="5.42578125" style="1" customWidth="1"/>
    <col min="15112" max="15112" width="10.5703125" style="1" customWidth="1"/>
    <col min="15113" max="15113" width="12.5703125" style="1" customWidth="1"/>
    <col min="15114" max="15114" width="6.28515625" style="1" customWidth="1"/>
    <col min="15115" max="15115" width="5.7109375" style="1" customWidth="1"/>
    <col min="15116" max="15116" width="9.5703125" style="1" customWidth="1"/>
    <col min="15117" max="15117" width="12.42578125" style="1" customWidth="1"/>
    <col min="15118" max="15118" width="6.42578125" style="1" customWidth="1"/>
    <col min="15119" max="15119" width="12.7109375" style="1" customWidth="1"/>
    <col min="15120" max="15120" width="16.85546875" style="1" customWidth="1"/>
    <col min="15121" max="15121" width="14.42578125" style="1" customWidth="1"/>
    <col min="15122" max="15122" width="13.42578125" style="1" customWidth="1"/>
    <col min="15123" max="15123" width="15" style="1" customWidth="1"/>
    <col min="15124" max="15124" width="25.28515625" style="1" customWidth="1"/>
    <col min="15125" max="15125" width="25.7109375" style="1" customWidth="1"/>
    <col min="15126" max="15360" width="9.140625" style="1"/>
    <col min="15361" max="15361" width="0" style="1" hidden="1" customWidth="1"/>
    <col min="15362" max="15362" width="29.140625" style="1" customWidth="1"/>
    <col min="15363" max="15363" width="4.140625" style="1" customWidth="1"/>
    <col min="15364" max="15364" width="5" style="1" customWidth="1"/>
    <col min="15365" max="15365" width="4.140625" style="1" customWidth="1"/>
    <col min="15366" max="15366" width="10" style="1" customWidth="1"/>
    <col min="15367" max="15367" width="5.42578125" style="1" customWidth="1"/>
    <col min="15368" max="15368" width="10.5703125" style="1" customWidth="1"/>
    <col min="15369" max="15369" width="12.5703125" style="1" customWidth="1"/>
    <col min="15370" max="15370" width="6.28515625" style="1" customWidth="1"/>
    <col min="15371" max="15371" width="5.7109375" style="1" customWidth="1"/>
    <col min="15372" max="15372" width="9.5703125" style="1" customWidth="1"/>
    <col min="15373" max="15373" width="12.42578125" style="1" customWidth="1"/>
    <col min="15374" max="15374" width="6.42578125" style="1" customWidth="1"/>
    <col min="15375" max="15375" width="12.7109375" style="1" customWidth="1"/>
    <col min="15376" max="15376" width="16.85546875" style="1" customWidth="1"/>
    <col min="15377" max="15377" width="14.42578125" style="1" customWidth="1"/>
    <col min="15378" max="15378" width="13.42578125" style="1" customWidth="1"/>
    <col min="15379" max="15379" width="15" style="1" customWidth="1"/>
    <col min="15380" max="15380" width="25.28515625" style="1" customWidth="1"/>
    <col min="15381" max="15381" width="25.7109375" style="1" customWidth="1"/>
    <col min="15382" max="15616" width="9.140625" style="1"/>
    <col min="15617" max="15617" width="0" style="1" hidden="1" customWidth="1"/>
    <col min="15618" max="15618" width="29.140625" style="1" customWidth="1"/>
    <col min="15619" max="15619" width="4.140625" style="1" customWidth="1"/>
    <col min="15620" max="15620" width="5" style="1" customWidth="1"/>
    <col min="15621" max="15621" width="4.140625" style="1" customWidth="1"/>
    <col min="15622" max="15622" width="10" style="1" customWidth="1"/>
    <col min="15623" max="15623" width="5.42578125" style="1" customWidth="1"/>
    <col min="15624" max="15624" width="10.5703125" style="1" customWidth="1"/>
    <col min="15625" max="15625" width="12.5703125" style="1" customWidth="1"/>
    <col min="15626" max="15626" width="6.28515625" style="1" customWidth="1"/>
    <col min="15627" max="15627" width="5.7109375" style="1" customWidth="1"/>
    <col min="15628" max="15628" width="9.5703125" style="1" customWidth="1"/>
    <col min="15629" max="15629" width="12.42578125" style="1" customWidth="1"/>
    <col min="15630" max="15630" width="6.42578125" style="1" customWidth="1"/>
    <col min="15631" max="15631" width="12.7109375" style="1" customWidth="1"/>
    <col min="15632" max="15632" width="16.85546875" style="1" customWidth="1"/>
    <col min="15633" max="15633" width="14.42578125" style="1" customWidth="1"/>
    <col min="15634" max="15634" width="13.42578125" style="1" customWidth="1"/>
    <col min="15635" max="15635" width="15" style="1" customWidth="1"/>
    <col min="15636" max="15636" width="25.28515625" style="1" customWidth="1"/>
    <col min="15637" max="15637" width="25.7109375" style="1" customWidth="1"/>
    <col min="15638" max="15872" width="9.140625" style="1"/>
    <col min="15873" max="15873" width="0" style="1" hidden="1" customWidth="1"/>
    <col min="15874" max="15874" width="29.140625" style="1" customWidth="1"/>
    <col min="15875" max="15875" width="4.140625" style="1" customWidth="1"/>
    <col min="15876" max="15876" width="5" style="1" customWidth="1"/>
    <col min="15877" max="15877" width="4.140625" style="1" customWidth="1"/>
    <col min="15878" max="15878" width="10" style="1" customWidth="1"/>
    <col min="15879" max="15879" width="5.42578125" style="1" customWidth="1"/>
    <col min="15880" max="15880" width="10.5703125" style="1" customWidth="1"/>
    <col min="15881" max="15881" width="12.5703125" style="1" customWidth="1"/>
    <col min="15882" max="15882" width="6.28515625" style="1" customWidth="1"/>
    <col min="15883" max="15883" width="5.7109375" style="1" customWidth="1"/>
    <col min="15884" max="15884" width="9.5703125" style="1" customWidth="1"/>
    <col min="15885" max="15885" width="12.42578125" style="1" customWidth="1"/>
    <col min="15886" max="15886" width="6.42578125" style="1" customWidth="1"/>
    <col min="15887" max="15887" width="12.7109375" style="1" customWidth="1"/>
    <col min="15888" max="15888" width="16.85546875" style="1" customWidth="1"/>
    <col min="15889" max="15889" width="14.42578125" style="1" customWidth="1"/>
    <col min="15890" max="15890" width="13.42578125" style="1" customWidth="1"/>
    <col min="15891" max="15891" width="15" style="1" customWidth="1"/>
    <col min="15892" max="15892" width="25.28515625" style="1" customWidth="1"/>
    <col min="15893" max="15893" width="25.7109375" style="1" customWidth="1"/>
    <col min="15894" max="16128" width="9.140625" style="1"/>
    <col min="16129" max="16129" width="0" style="1" hidden="1" customWidth="1"/>
    <col min="16130" max="16130" width="29.140625" style="1" customWidth="1"/>
    <col min="16131" max="16131" width="4.140625" style="1" customWidth="1"/>
    <col min="16132" max="16132" width="5" style="1" customWidth="1"/>
    <col min="16133" max="16133" width="4.140625" style="1" customWidth="1"/>
    <col min="16134" max="16134" width="10" style="1" customWidth="1"/>
    <col min="16135" max="16135" width="5.42578125" style="1" customWidth="1"/>
    <col min="16136" max="16136" width="10.5703125" style="1" customWidth="1"/>
    <col min="16137" max="16137" width="12.5703125" style="1" customWidth="1"/>
    <col min="16138" max="16138" width="6.28515625" style="1" customWidth="1"/>
    <col min="16139" max="16139" width="5.7109375" style="1" customWidth="1"/>
    <col min="16140" max="16140" width="9.5703125" style="1" customWidth="1"/>
    <col min="16141" max="16141" width="12.42578125" style="1" customWidth="1"/>
    <col min="16142" max="16142" width="6.42578125" style="1" customWidth="1"/>
    <col min="16143" max="16143" width="12.7109375" style="1" customWidth="1"/>
    <col min="16144" max="16144" width="16.85546875" style="1" customWidth="1"/>
    <col min="16145" max="16145" width="14.42578125" style="1" customWidth="1"/>
    <col min="16146" max="16146" width="13.42578125" style="1" customWidth="1"/>
    <col min="16147" max="16147" width="15" style="1" customWidth="1"/>
    <col min="16148" max="16148" width="25.28515625" style="1" customWidth="1"/>
    <col min="16149" max="16149" width="25.7109375" style="1" customWidth="1"/>
    <col min="16150" max="16384" width="9.140625" style="1"/>
  </cols>
  <sheetData>
    <row r="1" spans="1:29" ht="14.25" customHeight="1" x14ac:dyDescent="0.25">
      <c r="A1" s="3"/>
      <c r="B1" s="183">
        <v>50221</v>
      </c>
      <c r="C1" s="245"/>
      <c r="D1" s="2"/>
      <c r="E1" s="63"/>
      <c r="F1" s="241"/>
      <c r="G1" s="241"/>
      <c r="H1" s="241"/>
      <c r="I1" s="241"/>
      <c r="J1" s="241"/>
      <c r="K1" s="241"/>
      <c r="L1" s="241"/>
      <c r="M1" s="241"/>
      <c r="N1" s="242"/>
      <c r="O1" s="241" t="s">
        <v>61</v>
      </c>
      <c r="P1" s="242"/>
      <c r="Q1" s="242"/>
    </row>
    <row r="2" spans="1:29" s="3" customFormat="1" ht="25.5" customHeight="1" x14ac:dyDescent="0.25">
      <c r="B2" s="290"/>
      <c r="C2" s="290"/>
      <c r="D2" s="290"/>
      <c r="E2" s="290"/>
      <c r="F2" s="254"/>
      <c r="G2" s="296" t="s">
        <v>102</v>
      </c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174"/>
      <c r="S2" s="199"/>
      <c r="T2" s="199"/>
      <c r="U2" s="199"/>
      <c r="V2" s="199"/>
      <c r="W2" s="199"/>
      <c r="X2" s="199"/>
      <c r="Y2" s="199"/>
      <c r="Z2" s="171"/>
      <c r="AA2" s="171"/>
      <c r="AB2" s="171"/>
    </row>
    <row r="3" spans="1:29" ht="12" customHeight="1" x14ac:dyDescent="0.25">
      <c r="A3" s="3"/>
      <c r="B3" s="64"/>
      <c r="C3" s="64"/>
      <c r="D3" s="65"/>
      <c r="E3" s="63"/>
      <c r="F3" s="254"/>
      <c r="G3" s="296" t="s">
        <v>62</v>
      </c>
      <c r="H3" s="296"/>
      <c r="I3" s="296"/>
      <c r="J3" s="296"/>
      <c r="K3" s="296"/>
      <c r="L3" s="296"/>
      <c r="M3" s="296"/>
      <c r="N3" s="296"/>
      <c r="O3" s="243" t="s">
        <v>63</v>
      </c>
      <c r="P3" s="244"/>
      <c r="Q3" s="244"/>
    </row>
    <row r="4" spans="1:29" ht="13.5" customHeight="1" x14ac:dyDescent="0.25">
      <c r="A4" s="3"/>
      <c r="B4" s="64"/>
      <c r="C4" s="64"/>
      <c r="D4" s="65"/>
      <c r="E4" s="63"/>
      <c r="F4" s="254"/>
      <c r="G4" s="254"/>
      <c r="H4" s="254"/>
      <c r="I4" s="297" t="s">
        <v>100</v>
      </c>
      <c r="J4" s="297"/>
      <c r="K4" s="297"/>
      <c r="L4" s="297"/>
      <c r="M4" s="297"/>
      <c r="N4" s="294"/>
      <c r="O4" s="294"/>
      <c r="P4" s="294"/>
      <c r="Q4" s="294"/>
    </row>
    <row r="5" spans="1:29" ht="13.5" customHeight="1" x14ac:dyDescent="0.25">
      <c r="A5" s="3"/>
      <c r="B5" s="64"/>
      <c r="C5" s="64"/>
      <c r="D5" s="65"/>
      <c r="E5" s="63"/>
      <c r="F5" s="254"/>
      <c r="G5" s="297" t="s">
        <v>103</v>
      </c>
      <c r="H5" s="297"/>
      <c r="I5" s="297"/>
      <c r="J5" s="297"/>
      <c r="K5" s="297"/>
      <c r="L5" s="297"/>
      <c r="M5" s="297"/>
      <c r="N5" s="294"/>
      <c r="O5" s="294"/>
      <c r="P5" s="294"/>
      <c r="Q5" s="294"/>
    </row>
    <row r="6" spans="1:29" ht="22.5" customHeight="1" x14ac:dyDescent="0.25">
      <c r="A6" s="3"/>
      <c r="B6" s="64"/>
      <c r="C6" s="64"/>
      <c r="D6" s="65"/>
      <c r="E6" s="63"/>
      <c r="F6" s="293" t="s">
        <v>101</v>
      </c>
      <c r="G6" s="293"/>
      <c r="H6" s="293"/>
      <c r="I6" s="293"/>
      <c r="J6" s="293"/>
      <c r="K6" s="293"/>
      <c r="L6" s="293"/>
      <c r="M6" s="293"/>
      <c r="N6" s="294"/>
      <c r="O6" s="294"/>
      <c r="P6" s="294"/>
      <c r="Q6" s="294"/>
    </row>
    <row r="7" spans="1:29" s="7" customFormat="1" ht="11.25" customHeight="1" x14ac:dyDescent="0.25">
      <c r="A7" s="66"/>
      <c r="B7" s="8"/>
      <c r="C7" s="8"/>
      <c r="D7" s="9"/>
      <c r="E7" s="8"/>
      <c r="F7" s="254"/>
      <c r="G7" s="295" t="s">
        <v>64</v>
      </c>
      <c r="H7" s="295"/>
      <c r="I7" s="295"/>
      <c r="J7" s="295"/>
      <c r="K7" s="295"/>
      <c r="L7" s="295"/>
      <c r="M7" s="295"/>
      <c r="N7" s="294"/>
      <c r="O7" s="294"/>
      <c r="P7" s="294"/>
      <c r="Q7" s="294"/>
      <c r="R7" s="185"/>
      <c r="S7" s="200"/>
      <c r="T7" s="200"/>
      <c r="U7" s="200"/>
      <c r="V7" s="200"/>
      <c r="W7" s="200"/>
      <c r="X7" s="200"/>
      <c r="Y7" s="200"/>
      <c r="Z7" s="201"/>
      <c r="AA7" s="201"/>
      <c r="AB7" s="201"/>
    </row>
    <row r="8" spans="1:29" s="7" customFormat="1" ht="14.25" customHeight="1" x14ac:dyDescent="0.25">
      <c r="A8" s="66"/>
      <c r="B8" s="8"/>
      <c r="C8" s="8"/>
      <c r="D8" s="9"/>
      <c r="E8" s="8"/>
      <c r="F8" s="8"/>
      <c r="G8" s="67"/>
      <c r="H8" s="67"/>
      <c r="I8" s="67"/>
      <c r="J8" s="67"/>
      <c r="K8" s="67"/>
      <c r="L8" s="67"/>
      <c r="M8" s="67"/>
      <c r="N8" s="66"/>
      <c r="O8" s="66"/>
      <c r="P8" s="66"/>
      <c r="Q8" s="66"/>
      <c r="R8" s="185"/>
      <c r="S8" s="200"/>
      <c r="T8" s="200"/>
      <c r="U8" s="200"/>
      <c r="V8" s="200"/>
      <c r="W8" s="200"/>
      <c r="X8" s="200"/>
      <c r="Y8" s="200"/>
      <c r="Z8" s="201"/>
      <c r="AA8" s="201"/>
      <c r="AB8" s="201"/>
    </row>
    <row r="9" spans="1:29" ht="12.75" customHeight="1" x14ac:dyDescent="0.2">
      <c r="A9" s="3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</row>
    <row r="10" spans="1:29" ht="15" customHeight="1" x14ac:dyDescent="0.2">
      <c r="A10" s="274" t="s">
        <v>98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T10" s="202"/>
    </row>
    <row r="11" spans="1:29" ht="12.75" customHeight="1" x14ac:dyDescent="0.2">
      <c r="A11" s="288" t="s">
        <v>65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</row>
    <row r="12" spans="1:29" x14ac:dyDescent="0.2">
      <c r="A12" s="274" t="s">
        <v>66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T12" s="203"/>
      <c r="U12" s="203"/>
      <c r="V12" s="203"/>
      <c r="W12" s="274"/>
      <c r="X12" s="274"/>
      <c r="Y12" s="274"/>
      <c r="Z12" s="274"/>
      <c r="AA12" s="274"/>
      <c r="AB12" s="274"/>
      <c r="AC12" s="274"/>
    </row>
    <row r="13" spans="1:29" ht="13.5" thickBot="1" x14ac:dyDescent="0.25">
      <c r="A13" s="3"/>
      <c r="B13" s="246"/>
      <c r="C13" s="246"/>
      <c r="D13" s="68"/>
      <c r="E13" s="246"/>
      <c r="F13" s="246"/>
      <c r="G13" s="246"/>
      <c r="H13" s="246" t="s">
        <v>97</v>
      </c>
      <c r="I13" s="246"/>
      <c r="J13" s="246"/>
      <c r="K13" s="246"/>
      <c r="L13" s="246"/>
      <c r="M13" s="246"/>
      <c r="N13" s="246"/>
      <c r="O13" s="246"/>
      <c r="P13" s="246"/>
      <c r="Q13" s="3"/>
      <c r="T13" s="203"/>
      <c r="U13" s="292"/>
      <c r="V13" s="292"/>
      <c r="W13" s="275"/>
      <c r="X13" s="275"/>
      <c r="Y13" s="275"/>
      <c r="Z13" s="275"/>
      <c r="AA13" s="275"/>
      <c r="AB13" s="275"/>
      <c r="AC13" s="275"/>
    </row>
    <row r="14" spans="1:29" s="6" customFormat="1" ht="69.75" customHeight="1" thickBot="1" x14ac:dyDescent="0.25">
      <c r="A14" s="268" t="s">
        <v>67</v>
      </c>
      <c r="B14" s="280" t="s">
        <v>68</v>
      </c>
      <c r="C14" s="280" t="s">
        <v>0</v>
      </c>
      <c r="D14" s="284" t="s">
        <v>1</v>
      </c>
      <c r="E14" s="286" t="s">
        <v>2</v>
      </c>
      <c r="F14" s="268" t="s">
        <v>69</v>
      </c>
      <c r="G14" s="270" t="s">
        <v>70</v>
      </c>
      <c r="H14" s="268" t="s">
        <v>71</v>
      </c>
      <c r="I14" s="280" t="s">
        <v>72</v>
      </c>
      <c r="J14" s="282" t="s">
        <v>3</v>
      </c>
      <c r="K14" s="273"/>
      <c r="L14" s="282" t="s">
        <v>4</v>
      </c>
      <c r="M14" s="283"/>
      <c r="N14" s="273" t="s">
        <v>73</v>
      </c>
      <c r="O14" s="273"/>
      <c r="P14" s="268" t="s">
        <v>74</v>
      </c>
      <c r="Q14" s="276" t="s">
        <v>75</v>
      </c>
      <c r="R14" s="186"/>
      <c r="S14" s="204"/>
      <c r="T14" s="203"/>
      <c r="U14" s="203"/>
      <c r="V14" s="203"/>
      <c r="W14" s="278"/>
      <c r="X14" s="278"/>
      <c r="Y14" s="278"/>
      <c r="Z14" s="278"/>
      <c r="AA14" s="278"/>
      <c r="AB14" s="278"/>
      <c r="AC14" s="278"/>
    </row>
    <row r="15" spans="1:29" s="6" customFormat="1" ht="58.5" customHeight="1" thickBot="1" x14ac:dyDescent="0.25">
      <c r="A15" s="269"/>
      <c r="B15" s="281"/>
      <c r="C15" s="281"/>
      <c r="D15" s="285"/>
      <c r="E15" s="287"/>
      <c r="F15" s="269"/>
      <c r="G15" s="271"/>
      <c r="H15" s="269"/>
      <c r="I15" s="281"/>
      <c r="J15" s="247" t="s">
        <v>5</v>
      </c>
      <c r="K15" s="249" t="s">
        <v>6</v>
      </c>
      <c r="L15" s="247" t="s">
        <v>5</v>
      </c>
      <c r="M15" s="247" t="s">
        <v>6</v>
      </c>
      <c r="N15" s="248" t="s">
        <v>5</v>
      </c>
      <c r="O15" s="249" t="s">
        <v>76</v>
      </c>
      <c r="P15" s="269"/>
      <c r="Q15" s="277"/>
      <c r="R15" s="186"/>
      <c r="S15" s="204"/>
      <c r="T15" s="203"/>
      <c r="U15" s="279"/>
      <c r="V15" s="279"/>
      <c r="W15" s="279"/>
      <c r="X15" s="279"/>
      <c r="Y15" s="279"/>
      <c r="Z15" s="279"/>
      <c r="AA15" s="279"/>
      <c r="AB15" s="279"/>
      <c r="AC15" s="279"/>
    </row>
    <row r="16" spans="1:29" ht="37.5" customHeight="1" x14ac:dyDescent="0.25">
      <c r="A16" s="69"/>
      <c r="B16" s="10" t="s">
        <v>77</v>
      </c>
      <c r="C16" s="11"/>
      <c r="D16" s="12"/>
      <c r="E16" s="13"/>
      <c r="F16" s="14"/>
      <c r="G16" s="215"/>
      <c r="H16" s="14"/>
      <c r="I16" s="15"/>
      <c r="J16" s="16"/>
      <c r="K16" s="17"/>
      <c r="L16" s="18"/>
      <c r="M16" s="19"/>
      <c r="N16" s="15"/>
      <c r="O16" s="17"/>
      <c r="P16" s="70"/>
      <c r="Q16" s="71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</row>
    <row r="17" spans="1:29" ht="12" customHeight="1" x14ac:dyDescent="0.2">
      <c r="A17" s="69">
        <v>1</v>
      </c>
      <c r="B17" s="72" t="s">
        <v>7</v>
      </c>
      <c r="C17" s="73" t="s">
        <v>8</v>
      </c>
      <c r="D17" s="74" t="s">
        <v>9</v>
      </c>
      <c r="E17" s="75" t="s">
        <v>10</v>
      </c>
      <c r="F17" s="76">
        <v>1</v>
      </c>
      <c r="G17" s="77">
        <v>7.2900000000000009</v>
      </c>
      <c r="H17" s="78">
        <v>17697</v>
      </c>
      <c r="I17" s="79">
        <f>G17*H17</f>
        <v>129011.13000000002</v>
      </c>
      <c r="J17" s="80">
        <v>0</v>
      </c>
      <c r="K17" s="81">
        <f>ROUND(I17*J17,2)+(M17*J17)</f>
        <v>0</v>
      </c>
      <c r="L17" s="82">
        <v>0.1</v>
      </c>
      <c r="M17" s="83">
        <f t="shared" ref="M17:M22" si="0">ROUND(I17*L17*F17,2)</f>
        <v>12901.11</v>
      </c>
      <c r="N17" s="84"/>
      <c r="O17" s="81">
        <f>ROUND(H17*N17,2)*2</f>
        <v>0</v>
      </c>
      <c r="P17" s="78">
        <f t="shared" ref="P17:P22" si="1">ROUND((I17*F17)+M17+K17+O17,2)</f>
        <v>141912.24</v>
      </c>
      <c r="Q17" s="85">
        <f t="shared" ref="Q17:Q22" si="2">P17*12</f>
        <v>1702946.88</v>
      </c>
      <c r="R17" s="187">
        <f>Q23/3.5/12</f>
        <v>107595.23428571428</v>
      </c>
      <c r="S17" s="188"/>
      <c r="T17" s="205"/>
      <c r="U17" s="256"/>
      <c r="V17" s="256"/>
      <c r="W17" s="256"/>
      <c r="X17" s="256"/>
      <c r="Y17" s="256"/>
      <c r="Z17" s="256"/>
      <c r="AA17" s="256"/>
      <c r="AB17" s="256"/>
      <c r="AC17" s="256"/>
    </row>
    <row r="18" spans="1:29" ht="12" hidden="1" customHeight="1" x14ac:dyDescent="0.2">
      <c r="A18" s="69"/>
      <c r="B18" s="72" t="s">
        <v>11</v>
      </c>
      <c r="C18" s="73"/>
      <c r="D18" s="86"/>
      <c r="E18" s="87"/>
      <c r="F18" s="76"/>
      <c r="G18" s="88"/>
      <c r="H18" s="78">
        <v>17697</v>
      </c>
      <c r="I18" s="79">
        <f t="shared" ref="I18:I22" si="3">G18*H18</f>
        <v>0</v>
      </c>
      <c r="J18" s="80">
        <v>0</v>
      </c>
      <c r="K18" s="81">
        <f>ROUND(I18*J18,2)+(M18*J18)</f>
        <v>0</v>
      </c>
      <c r="L18" s="82">
        <v>0.1</v>
      </c>
      <c r="M18" s="83">
        <f t="shared" si="0"/>
        <v>0</v>
      </c>
      <c r="N18" s="84"/>
      <c r="O18" s="81">
        <f>ROUND(H18*N18,2)</f>
        <v>0</v>
      </c>
      <c r="P18" s="78">
        <f t="shared" si="1"/>
        <v>0</v>
      </c>
      <c r="Q18" s="85">
        <f t="shared" si="2"/>
        <v>0</v>
      </c>
      <c r="R18" s="189"/>
      <c r="S18" s="188"/>
      <c r="T18" s="205"/>
      <c r="U18" s="255"/>
      <c r="V18" s="255"/>
      <c r="W18" s="255"/>
      <c r="X18" s="255"/>
      <c r="Y18" s="255"/>
      <c r="Z18" s="250"/>
      <c r="AA18" s="250"/>
      <c r="AB18" s="250"/>
      <c r="AC18" s="250"/>
    </row>
    <row r="19" spans="1:29" ht="12" customHeight="1" x14ac:dyDescent="0.2">
      <c r="A19" s="69">
        <v>2</v>
      </c>
      <c r="B19" s="72" t="s">
        <v>12</v>
      </c>
      <c r="C19" s="89" t="s">
        <v>8</v>
      </c>
      <c r="D19" s="90" t="s">
        <v>13</v>
      </c>
      <c r="E19" s="75" t="s">
        <v>10</v>
      </c>
      <c r="F19" s="76">
        <v>1</v>
      </c>
      <c r="G19" s="77">
        <v>4.8099999999999996</v>
      </c>
      <c r="H19" s="78">
        <v>17697</v>
      </c>
      <c r="I19" s="79">
        <f t="shared" si="3"/>
        <v>85122.569999999992</v>
      </c>
      <c r="J19" s="80">
        <v>0</v>
      </c>
      <c r="K19" s="81">
        <f>ROUND(I19*J19,2)+(M19*J19)</f>
        <v>0</v>
      </c>
      <c r="L19" s="82">
        <v>0.1</v>
      </c>
      <c r="M19" s="83">
        <f t="shared" si="0"/>
        <v>8512.26</v>
      </c>
      <c r="N19" s="91"/>
      <c r="O19" s="81">
        <f>ROUND(H19*N19,2)</f>
        <v>0</v>
      </c>
      <c r="P19" s="78">
        <f t="shared" si="1"/>
        <v>93634.83</v>
      </c>
      <c r="Q19" s="85">
        <f t="shared" si="2"/>
        <v>1123617.96</v>
      </c>
      <c r="R19" s="189"/>
      <c r="S19" s="188"/>
      <c r="U19" s="188"/>
    </row>
    <row r="20" spans="1:29" ht="12" hidden="1" customHeight="1" x14ac:dyDescent="0.2">
      <c r="A20" s="69"/>
      <c r="B20" s="72" t="s">
        <v>14</v>
      </c>
      <c r="C20" s="73"/>
      <c r="D20" s="86"/>
      <c r="E20" s="87"/>
      <c r="F20" s="92"/>
      <c r="G20" s="88"/>
      <c r="H20" s="78">
        <v>17697</v>
      </c>
      <c r="I20" s="79">
        <f t="shared" si="3"/>
        <v>0</v>
      </c>
      <c r="J20" s="80">
        <v>0</v>
      </c>
      <c r="K20" s="81">
        <f>ROUND(I20*J20,2)</f>
        <v>0</v>
      </c>
      <c r="L20" s="82">
        <v>0.1</v>
      </c>
      <c r="M20" s="83">
        <f t="shared" si="0"/>
        <v>0</v>
      </c>
      <c r="N20" s="91"/>
      <c r="O20" s="81">
        <f>ROUND(H20*N20,2)</f>
        <v>0</v>
      </c>
      <c r="P20" s="78">
        <f t="shared" si="1"/>
        <v>0</v>
      </c>
      <c r="Q20" s="85">
        <f t="shared" si="2"/>
        <v>0</v>
      </c>
      <c r="S20" s="188"/>
      <c r="U20" s="188"/>
    </row>
    <row r="21" spans="1:29" ht="12" hidden="1" customHeight="1" x14ac:dyDescent="0.2">
      <c r="A21" s="69"/>
      <c r="B21" s="72" t="s">
        <v>15</v>
      </c>
      <c r="C21" s="89"/>
      <c r="D21" s="90"/>
      <c r="E21" s="87"/>
      <c r="F21" s="92"/>
      <c r="G21" s="88"/>
      <c r="H21" s="78">
        <v>17697</v>
      </c>
      <c r="I21" s="79">
        <f t="shared" si="3"/>
        <v>0</v>
      </c>
      <c r="J21" s="80">
        <v>0</v>
      </c>
      <c r="K21" s="81">
        <f>ROUND(I21*J21,2)</f>
        <v>0</v>
      </c>
      <c r="L21" s="82">
        <v>0.1</v>
      </c>
      <c r="M21" s="83">
        <f t="shared" si="0"/>
        <v>0</v>
      </c>
      <c r="N21" s="91"/>
      <c r="O21" s="81">
        <f>ROUND(H21*N21,2)</f>
        <v>0</v>
      </c>
      <c r="P21" s="78">
        <f t="shared" si="1"/>
        <v>0</v>
      </c>
      <c r="Q21" s="85">
        <f t="shared" si="2"/>
        <v>0</v>
      </c>
      <c r="S21" s="188"/>
      <c r="U21" s="188"/>
    </row>
    <row r="22" spans="1:29" ht="12" customHeight="1" thickBot="1" x14ac:dyDescent="0.25">
      <c r="A22" s="93">
        <v>3</v>
      </c>
      <c r="B22" s="94" t="s">
        <v>17</v>
      </c>
      <c r="C22" s="95" t="s">
        <v>18</v>
      </c>
      <c r="D22" s="96" t="s">
        <v>79</v>
      </c>
      <c r="E22" s="97"/>
      <c r="F22" s="76">
        <v>1.5</v>
      </c>
      <c r="G22" s="98">
        <v>4.83</v>
      </c>
      <c r="H22" s="78">
        <v>17697</v>
      </c>
      <c r="I22" s="79">
        <f t="shared" si="3"/>
        <v>85476.51</v>
      </c>
      <c r="J22" s="80">
        <v>0</v>
      </c>
      <c r="K22" s="81">
        <f>ROUND(I22*J22,2)</f>
        <v>0</v>
      </c>
      <c r="L22" s="82">
        <v>0.1</v>
      </c>
      <c r="M22" s="83">
        <f t="shared" si="0"/>
        <v>12821.48</v>
      </c>
      <c r="N22" s="91"/>
      <c r="O22" s="81">
        <f>ROUND(H22*N22,2)</f>
        <v>0</v>
      </c>
      <c r="P22" s="78">
        <f t="shared" si="1"/>
        <v>141036.25</v>
      </c>
      <c r="Q22" s="85">
        <f t="shared" si="2"/>
        <v>1692435</v>
      </c>
      <c r="R22" s="189"/>
      <c r="S22" s="188"/>
      <c r="U22" s="188"/>
    </row>
    <row r="23" spans="1:29" s="25" customFormat="1" ht="14.25" customHeight="1" thickBot="1" x14ac:dyDescent="0.25">
      <c r="A23" s="267" t="s">
        <v>19</v>
      </c>
      <c r="B23" s="260"/>
      <c r="C23" s="99"/>
      <c r="D23" s="100"/>
      <c r="E23" s="101"/>
      <c r="F23" s="58">
        <f>SUM(F17:F22)</f>
        <v>3.5</v>
      </c>
      <c r="G23" s="102"/>
      <c r="H23" s="58"/>
      <c r="I23" s="103">
        <f>SUM(I17:I22)</f>
        <v>299610.21000000002</v>
      </c>
      <c r="J23" s="104"/>
      <c r="K23" s="105">
        <f>SUM(K17:K22)</f>
        <v>0</v>
      </c>
      <c r="L23" s="106"/>
      <c r="M23" s="107">
        <f>SUM(M17:M22)</f>
        <v>34234.850000000006</v>
      </c>
      <c r="N23" s="108"/>
      <c r="O23" s="105">
        <f>SUM(O17:O22)</f>
        <v>0</v>
      </c>
      <c r="P23" s="58">
        <f>ROUND(SUM(P17:P22),2)</f>
        <v>376583.32</v>
      </c>
      <c r="Q23" s="109">
        <f>SUM(Q17:Q22)</f>
        <v>4518999.84</v>
      </c>
      <c r="R23" s="191">
        <f>'[1]РАСЧЁТЫ по НОВ.МОД (3)'!W15-P23</f>
        <v>-87113.489999999991</v>
      </c>
      <c r="S23" s="196">
        <f>'[2]РАСЧЁТЫ по действ.сист'!W15</f>
        <v>158069.6</v>
      </c>
      <c r="T23" s="206">
        <f>P23-S23</f>
        <v>218513.72</v>
      </c>
      <c r="U23" s="206" t="b">
        <f>IF(P23&lt;&gt;S23,FALSE,0)</f>
        <v>0</v>
      </c>
      <c r="V23" s="207"/>
      <c r="W23" s="207"/>
      <c r="X23" s="207"/>
      <c r="Y23" s="207"/>
      <c r="Z23" s="208"/>
      <c r="AA23" s="208"/>
      <c r="AB23" s="208"/>
    </row>
    <row r="24" spans="1:29" ht="37.5" customHeight="1" x14ac:dyDescent="0.25">
      <c r="A24" s="110"/>
      <c r="B24" s="26" t="s">
        <v>78</v>
      </c>
      <c r="C24" s="27"/>
      <c r="D24" s="28"/>
      <c r="E24" s="29"/>
      <c r="F24" s="30"/>
      <c r="G24" s="59"/>
      <c r="H24" s="30"/>
      <c r="I24" s="31"/>
      <c r="J24" s="32"/>
      <c r="K24" s="33"/>
      <c r="L24" s="34"/>
      <c r="M24" s="35"/>
      <c r="N24" s="31"/>
      <c r="O24" s="33"/>
      <c r="P24" s="30"/>
      <c r="Q24" s="111"/>
      <c r="R24" s="189"/>
      <c r="S24" s="188"/>
      <c r="U24" s="188"/>
    </row>
    <row r="25" spans="1:29" ht="14.25" customHeight="1" x14ac:dyDescent="0.2">
      <c r="A25" s="69">
        <v>7</v>
      </c>
      <c r="B25" s="112" t="e">
        <f>#REF!</f>
        <v>#REF!</v>
      </c>
      <c r="C25" s="113"/>
      <c r="D25" s="114"/>
      <c r="E25" s="115"/>
      <c r="F25" s="180">
        <v>0.22916666666666666</v>
      </c>
      <c r="G25" s="216">
        <v>7.3500000000000005</v>
      </c>
      <c r="H25" s="78">
        <v>17697</v>
      </c>
      <c r="I25" s="79">
        <f t="shared" ref="I25:I57" si="4">G25*H25</f>
        <v>130072.95000000001</v>
      </c>
      <c r="J25" s="80">
        <v>0</v>
      </c>
      <c r="K25" s="81">
        <f t="shared" ref="K25:K59" si="5">ROUND(I25*J25,2)+(M25*J25)</f>
        <v>0</v>
      </c>
      <c r="L25" s="82">
        <v>0.1</v>
      </c>
      <c r="M25" s="83">
        <f t="shared" ref="M25:M57" si="6">ROUND(I25*L25*F25,2)</f>
        <v>2980.84</v>
      </c>
      <c r="N25" s="84"/>
      <c r="O25" s="81">
        <f t="shared" ref="O25:O59" si="7">ROUND(H25*N25,2)</f>
        <v>0</v>
      </c>
      <c r="P25" s="218">
        <f t="shared" ref="P25:P57" si="8">ROUND((I25*F25)+M25+K25+O25,2)</f>
        <v>32789.22</v>
      </c>
      <c r="Q25" s="85">
        <f>P25*12</f>
        <v>393470.64</v>
      </c>
      <c r="S25" s="188"/>
      <c r="U25" s="188"/>
    </row>
    <row r="26" spans="1:29" ht="12" hidden="1" customHeight="1" x14ac:dyDescent="0.2">
      <c r="A26" s="69"/>
      <c r="B26" s="112"/>
      <c r="C26" s="116"/>
      <c r="D26" s="117"/>
      <c r="E26" s="118"/>
      <c r="F26" s="119"/>
      <c r="G26" s="120"/>
      <c r="H26" s="78"/>
      <c r="I26" s="79"/>
      <c r="J26" s="80"/>
      <c r="K26" s="81"/>
      <c r="L26" s="82"/>
      <c r="M26" s="83"/>
      <c r="N26" s="84"/>
      <c r="O26" s="81"/>
      <c r="P26" s="218"/>
      <c r="Q26" s="85"/>
      <c r="R26" s="189"/>
      <c r="S26" s="188"/>
      <c r="U26" s="188"/>
    </row>
    <row r="27" spans="1:29" x14ac:dyDescent="0.2">
      <c r="A27" s="39">
        <v>5</v>
      </c>
      <c r="B27" s="240" t="s">
        <v>21</v>
      </c>
      <c r="C27" s="37" t="s">
        <v>20</v>
      </c>
      <c r="D27" s="38">
        <v>3</v>
      </c>
      <c r="E27" s="40"/>
      <c r="F27" s="60">
        <v>1</v>
      </c>
      <c r="G27" s="61">
        <v>5.67</v>
      </c>
      <c r="H27" s="36">
        <v>17697</v>
      </c>
      <c r="I27" s="52">
        <f>G27*H27</f>
        <v>100341.99</v>
      </c>
      <c r="J27" s="53">
        <v>0</v>
      </c>
      <c r="K27" s="54">
        <f t="shared" ref="K27:K28" si="9">ROUND(I27*J27,2)+(M27*J27)</f>
        <v>0</v>
      </c>
      <c r="L27" s="55">
        <v>0.1</v>
      </c>
      <c r="M27" s="56">
        <f t="shared" ref="M27" si="10">ROUND(I27*L27*F27,2)</f>
        <v>10034.200000000001</v>
      </c>
      <c r="N27" s="57"/>
      <c r="O27" s="54">
        <f t="shared" ref="O27:O28" si="11">ROUND(H27*N27,2)</f>
        <v>0</v>
      </c>
      <c r="P27" s="36">
        <f>ROUND((I27*F27)+M27+K27+O27,2)</f>
        <v>110376.19</v>
      </c>
      <c r="Q27" s="20">
        <f t="shared" ref="Q27:Q28" si="12">P27*12</f>
        <v>1324514.28</v>
      </c>
      <c r="R27" s="189">
        <f>Q27+Q28+Q38+Q49+Q52+Q59</f>
        <v>52871944.199999996</v>
      </c>
      <c r="S27" s="188">
        <f>F27+F28+F38+F49+F52+F59</f>
        <v>40</v>
      </c>
      <c r="T27" s="190">
        <f>R27/S27/12</f>
        <v>110149.88374999999</v>
      </c>
      <c r="U27" s="188"/>
    </row>
    <row r="28" spans="1:29" x14ac:dyDescent="0.2">
      <c r="A28" s="39">
        <v>6</v>
      </c>
      <c r="B28" s="240" t="s">
        <v>22</v>
      </c>
      <c r="C28" s="22" t="s">
        <v>20</v>
      </c>
      <c r="D28" s="23">
        <v>3</v>
      </c>
      <c r="E28" s="21"/>
      <c r="F28" s="60">
        <v>1</v>
      </c>
      <c r="G28" s="61">
        <v>6.4499999999999993</v>
      </c>
      <c r="H28" s="36">
        <v>17697</v>
      </c>
      <c r="I28" s="52">
        <f>(G28*H28)</f>
        <v>114145.65</v>
      </c>
      <c r="J28" s="53">
        <v>0</v>
      </c>
      <c r="K28" s="54">
        <f t="shared" si="9"/>
        <v>0</v>
      </c>
      <c r="L28" s="55">
        <v>0.1</v>
      </c>
      <c r="M28" s="56">
        <f>ROUND(I28*L28*F28,2)-0.01</f>
        <v>11414.56</v>
      </c>
      <c r="N28" s="57"/>
      <c r="O28" s="54">
        <f t="shared" si="11"/>
        <v>0</v>
      </c>
      <c r="P28" s="36">
        <f t="shared" ref="P28" si="13">ROUND((I28*F28)+M28+K28+O28,2)</f>
        <v>125560.21</v>
      </c>
      <c r="Q28" s="20">
        <f t="shared" si="12"/>
        <v>1506722.52</v>
      </c>
      <c r="S28" s="188"/>
      <c r="U28" s="188"/>
    </row>
    <row r="29" spans="1:29" ht="12" hidden="1" customHeight="1" x14ac:dyDescent="0.2">
      <c r="A29" s="69"/>
      <c r="B29" s="112"/>
      <c r="C29" s="113"/>
      <c r="D29" s="114"/>
      <c r="E29" s="121"/>
      <c r="F29" s="92"/>
      <c r="G29" s="216"/>
      <c r="H29" s="78"/>
      <c r="I29" s="79"/>
      <c r="J29" s="80"/>
      <c r="K29" s="81"/>
      <c r="L29" s="82"/>
      <c r="M29" s="83"/>
      <c r="N29" s="84"/>
      <c r="O29" s="81"/>
      <c r="P29" s="218"/>
      <c r="Q29" s="85"/>
      <c r="S29" s="188"/>
      <c r="U29" s="188"/>
    </row>
    <row r="30" spans="1:29" ht="12" hidden="1" customHeight="1" x14ac:dyDescent="0.2">
      <c r="A30" s="69"/>
      <c r="B30" s="112"/>
      <c r="C30" s="113"/>
      <c r="D30" s="114"/>
      <c r="E30" s="121"/>
      <c r="F30" s="92"/>
      <c r="G30" s="216"/>
      <c r="H30" s="78"/>
      <c r="I30" s="79"/>
      <c r="J30" s="80"/>
      <c r="K30" s="81"/>
      <c r="L30" s="82"/>
      <c r="M30" s="83"/>
      <c r="N30" s="84"/>
      <c r="O30" s="81"/>
      <c r="P30" s="218"/>
      <c r="Q30" s="85"/>
      <c r="S30" s="188"/>
      <c r="U30" s="188"/>
    </row>
    <row r="31" spans="1:29" ht="12" hidden="1" customHeight="1" x14ac:dyDescent="0.2">
      <c r="A31" s="69"/>
      <c r="B31" s="112"/>
      <c r="C31" s="113"/>
      <c r="D31" s="114"/>
      <c r="E31" s="121"/>
      <c r="F31" s="92"/>
      <c r="G31" s="216"/>
      <c r="H31" s="78"/>
      <c r="I31" s="79"/>
      <c r="J31" s="80"/>
      <c r="K31" s="81"/>
      <c r="L31" s="82"/>
      <c r="M31" s="83"/>
      <c r="N31" s="84"/>
      <c r="O31" s="81"/>
      <c r="P31" s="218"/>
      <c r="Q31" s="85"/>
      <c r="S31" s="188"/>
      <c r="U31" s="188"/>
    </row>
    <row r="32" spans="1:29" ht="12" hidden="1" customHeight="1" x14ac:dyDescent="0.2">
      <c r="A32" s="69"/>
      <c r="B32" s="72"/>
      <c r="C32" s="116"/>
      <c r="D32" s="117"/>
      <c r="E32" s="122"/>
      <c r="F32" s="92"/>
      <c r="G32" s="216"/>
      <c r="H32" s="78"/>
      <c r="I32" s="79"/>
      <c r="J32" s="80"/>
      <c r="K32" s="81"/>
      <c r="L32" s="82"/>
      <c r="M32" s="83"/>
      <c r="N32" s="84"/>
      <c r="O32" s="81"/>
      <c r="P32" s="218"/>
      <c r="Q32" s="85"/>
      <c r="S32" s="188"/>
      <c r="U32" s="188"/>
    </row>
    <row r="33" spans="1:21" ht="12" hidden="1" customHeight="1" x14ac:dyDescent="0.2">
      <c r="A33" s="69"/>
      <c r="B33" s="72"/>
      <c r="C33" s="113"/>
      <c r="D33" s="114"/>
      <c r="E33" s="121"/>
      <c r="F33" s="92"/>
      <c r="G33" s="216"/>
      <c r="H33" s="78"/>
      <c r="I33" s="79"/>
      <c r="J33" s="80"/>
      <c r="K33" s="81"/>
      <c r="L33" s="82"/>
      <c r="M33" s="83"/>
      <c r="N33" s="84"/>
      <c r="O33" s="81"/>
      <c r="P33" s="218"/>
      <c r="Q33" s="85"/>
      <c r="R33" s="189"/>
      <c r="S33" s="188"/>
      <c r="U33" s="188"/>
    </row>
    <row r="34" spans="1:21" ht="12" hidden="1" customHeight="1" x14ac:dyDescent="0.2">
      <c r="A34" s="69"/>
      <c r="B34" s="72"/>
      <c r="C34" s="113"/>
      <c r="D34" s="114"/>
      <c r="E34" s="121"/>
      <c r="F34" s="92"/>
      <c r="G34" s="216"/>
      <c r="H34" s="78"/>
      <c r="I34" s="79"/>
      <c r="J34" s="80"/>
      <c r="K34" s="81"/>
      <c r="L34" s="82"/>
      <c r="M34" s="83"/>
      <c r="N34" s="84"/>
      <c r="O34" s="81"/>
      <c r="P34" s="218"/>
      <c r="Q34" s="85"/>
      <c r="S34" s="188"/>
      <c r="U34" s="188"/>
    </row>
    <row r="35" spans="1:21" ht="12" hidden="1" customHeight="1" x14ac:dyDescent="0.2">
      <c r="A35" s="69"/>
      <c r="B35" s="72"/>
      <c r="C35" s="113"/>
      <c r="D35" s="114"/>
      <c r="E35" s="121"/>
      <c r="F35" s="92"/>
      <c r="G35" s="216"/>
      <c r="H35" s="78"/>
      <c r="I35" s="79"/>
      <c r="J35" s="80"/>
      <c r="K35" s="81"/>
      <c r="L35" s="82"/>
      <c r="M35" s="83"/>
      <c r="N35" s="84"/>
      <c r="O35" s="81"/>
      <c r="P35" s="218"/>
      <c r="Q35" s="85"/>
      <c r="R35" s="189"/>
      <c r="S35" s="188"/>
      <c r="U35" s="188"/>
    </row>
    <row r="36" spans="1:21" ht="12" hidden="1" customHeight="1" x14ac:dyDescent="0.2">
      <c r="A36" s="69"/>
      <c r="B36" s="72"/>
      <c r="C36" s="113"/>
      <c r="D36" s="114"/>
      <c r="E36" s="121"/>
      <c r="F36" s="92"/>
      <c r="G36" s="216"/>
      <c r="H36" s="78"/>
      <c r="I36" s="79"/>
      <c r="J36" s="80"/>
      <c r="K36" s="81"/>
      <c r="L36" s="82"/>
      <c r="M36" s="83"/>
      <c r="N36" s="84"/>
      <c r="O36" s="81"/>
      <c r="P36" s="218"/>
      <c r="Q36" s="85"/>
      <c r="R36" s="189"/>
      <c r="S36" s="188"/>
      <c r="U36" s="188"/>
    </row>
    <row r="37" spans="1:21" ht="12" hidden="1" customHeight="1" x14ac:dyDescent="0.2">
      <c r="A37" s="69"/>
      <c r="B37" s="72"/>
      <c r="C37" s="89"/>
      <c r="D37" s="90"/>
      <c r="E37" s="87"/>
      <c r="F37" s="92"/>
      <c r="G37" s="216"/>
      <c r="H37" s="78"/>
      <c r="I37" s="79"/>
      <c r="J37" s="80"/>
      <c r="K37" s="81"/>
      <c r="L37" s="82"/>
      <c r="M37" s="83"/>
      <c r="N37" s="84"/>
      <c r="O37" s="81"/>
      <c r="P37" s="218"/>
      <c r="Q37" s="85"/>
      <c r="S37" s="188"/>
      <c r="U37" s="188"/>
    </row>
    <row r="38" spans="1:21" ht="12" customHeight="1" x14ac:dyDescent="0.2">
      <c r="A38" s="69">
        <v>4</v>
      </c>
      <c r="B38" s="72" t="s">
        <v>23</v>
      </c>
      <c r="C38" s="89" t="s">
        <v>20</v>
      </c>
      <c r="D38" s="90">
        <v>3</v>
      </c>
      <c r="E38" s="115"/>
      <c r="F38" s="76">
        <v>1</v>
      </c>
      <c r="G38" s="216">
        <v>5.2050000000000001</v>
      </c>
      <c r="H38" s="78">
        <v>17697</v>
      </c>
      <c r="I38" s="79">
        <f>G38*H38</f>
        <v>92112.884999999995</v>
      </c>
      <c r="J38" s="80">
        <v>0</v>
      </c>
      <c r="K38" s="81">
        <f t="shared" si="5"/>
        <v>0</v>
      </c>
      <c r="L38" s="82">
        <v>0.1</v>
      </c>
      <c r="M38" s="83">
        <f>ROUND(I38*L38*F38,2)-0.01</f>
        <v>9211.2800000000007</v>
      </c>
      <c r="N38" s="84"/>
      <c r="O38" s="81">
        <f t="shared" si="7"/>
        <v>0</v>
      </c>
      <c r="P38" s="218">
        <f t="shared" si="8"/>
        <v>101324.17</v>
      </c>
      <c r="Q38" s="85">
        <f t="shared" ref="Q38:Q59" si="14">P38*12</f>
        <v>1215890.04</v>
      </c>
      <c r="S38" s="192"/>
      <c r="U38" s="188"/>
    </row>
    <row r="39" spans="1:21" ht="12" hidden="1" customHeight="1" x14ac:dyDescent="0.2">
      <c r="A39" s="69">
        <v>12.3333333333333</v>
      </c>
      <c r="B39" s="72" t="s">
        <v>24</v>
      </c>
      <c r="C39" s="113"/>
      <c r="D39" s="114"/>
      <c r="E39" s="121"/>
      <c r="F39" s="76"/>
      <c r="G39" s="216"/>
      <c r="H39" s="78">
        <v>17697</v>
      </c>
      <c r="I39" s="79">
        <f t="shared" si="4"/>
        <v>0</v>
      </c>
      <c r="J39" s="80">
        <v>0</v>
      </c>
      <c r="K39" s="81">
        <f t="shared" si="5"/>
        <v>0</v>
      </c>
      <c r="L39" s="82">
        <v>0.1</v>
      </c>
      <c r="M39" s="83">
        <f t="shared" si="6"/>
        <v>0</v>
      </c>
      <c r="N39" s="84"/>
      <c r="O39" s="81">
        <f t="shared" si="7"/>
        <v>0</v>
      </c>
      <c r="P39" s="218">
        <f t="shared" si="8"/>
        <v>0</v>
      </c>
      <c r="Q39" s="85">
        <f t="shared" si="14"/>
        <v>0</v>
      </c>
      <c r="R39" s="189"/>
      <c r="S39" s="188"/>
      <c r="U39" s="188"/>
    </row>
    <row r="40" spans="1:21" ht="12" hidden="1" customHeight="1" x14ac:dyDescent="0.2">
      <c r="A40" s="69">
        <v>12.8333333333333</v>
      </c>
      <c r="B40" s="72" t="s">
        <v>25</v>
      </c>
      <c r="C40" s="113"/>
      <c r="D40" s="114"/>
      <c r="E40" s="121"/>
      <c r="F40" s="76"/>
      <c r="G40" s="216"/>
      <c r="H40" s="78">
        <v>17697</v>
      </c>
      <c r="I40" s="79">
        <f t="shared" si="4"/>
        <v>0</v>
      </c>
      <c r="J40" s="80">
        <v>0</v>
      </c>
      <c r="K40" s="81">
        <f t="shared" si="5"/>
        <v>0</v>
      </c>
      <c r="L40" s="82">
        <v>0.1</v>
      </c>
      <c r="M40" s="83">
        <f t="shared" si="6"/>
        <v>0</v>
      </c>
      <c r="N40" s="84"/>
      <c r="O40" s="81">
        <f t="shared" si="7"/>
        <v>0</v>
      </c>
      <c r="P40" s="218">
        <f t="shared" si="8"/>
        <v>0</v>
      </c>
      <c r="Q40" s="85">
        <f t="shared" si="14"/>
        <v>0</v>
      </c>
      <c r="S40" s="188"/>
      <c r="U40" s="188"/>
    </row>
    <row r="41" spans="1:21" ht="12" hidden="1" customHeight="1" x14ac:dyDescent="0.2">
      <c r="A41" s="69">
        <v>13.3333333333333</v>
      </c>
      <c r="B41" s="72" t="s">
        <v>26</v>
      </c>
      <c r="C41" s="113"/>
      <c r="D41" s="114"/>
      <c r="E41" s="121"/>
      <c r="F41" s="76"/>
      <c r="G41" s="216"/>
      <c r="H41" s="78">
        <v>17697</v>
      </c>
      <c r="I41" s="79">
        <f t="shared" si="4"/>
        <v>0</v>
      </c>
      <c r="J41" s="80">
        <v>0</v>
      </c>
      <c r="K41" s="81">
        <f t="shared" si="5"/>
        <v>0</v>
      </c>
      <c r="L41" s="82">
        <v>0.1</v>
      </c>
      <c r="M41" s="83">
        <f t="shared" si="6"/>
        <v>0</v>
      </c>
      <c r="N41" s="84"/>
      <c r="O41" s="81">
        <f t="shared" si="7"/>
        <v>0</v>
      </c>
      <c r="P41" s="218">
        <f t="shared" si="8"/>
        <v>0</v>
      </c>
      <c r="Q41" s="85">
        <f t="shared" si="14"/>
        <v>0</v>
      </c>
      <c r="S41" s="188"/>
      <c r="U41" s="188"/>
    </row>
    <row r="42" spans="1:21" ht="12" customHeight="1" x14ac:dyDescent="0.2">
      <c r="A42" s="69">
        <v>5</v>
      </c>
      <c r="B42" s="72" t="s">
        <v>27</v>
      </c>
      <c r="C42" s="89" t="s">
        <v>20</v>
      </c>
      <c r="D42" s="90">
        <v>3</v>
      </c>
      <c r="E42" s="87"/>
      <c r="F42" s="123">
        <v>1.5</v>
      </c>
      <c r="G42" s="216">
        <v>4.1349999999999998</v>
      </c>
      <c r="H42" s="78">
        <v>17697</v>
      </c>
      <c r="I42" s="79">
        <f t="shared" si="4"/>
        <v>73177.095000000001</v>
      </c>
      <c r="J42" s="80">
        <v>0</v>
      </c>
      <c r="K42" s="81">
        <f t="shared" si="5"/>
        <v>0</v>
      </c>
      <c r="L42" s="82">
        <v>0.1</v>
      </c>
      <c r="M42" s="83">
        <f>ROUND(I42*L42*F42,2)+48.68</f>
        <v>11025.24</v>
      </c>
      <c r="N42" s="84"/>
      <c r="O42" s="81">
        <f t="shared" si="7"/>
        <v>0</v>
      </c>
      <c r="P42" s="218">
        <f t="shared" si="8"/>
        <v>120790.88</v>
      </c>
      <c r="Q42" s="85">
        <f t="shared" si="14"/>
        <v>1449490.56</v>
      </c>
      <c r="R42" s="189">
        <f>120790.87-P42</f>
        <v>-1.0000000009313226E-2</v>
      </c>
      <c r="S42" s="188"/>
      <c r="U42" s="188"/>
    </row>
    <row r="43" spans="1:21" ht="12" customHeight="1" x14ac:dyDescent="0.2">
      <c r="A43" s="69">
        <v>6</v>
      </c>
      <c r="B43" s="72" t="s">
        <v>28</v>
      </c>
      <c r="C43" s="89" t="s">
        <v>20</v>
      </c>
      <c r="D43" s="90">
        <v>3</v>
      </c>
      <c r="E43" s="87"/>
      <c r="F43" s="124">
        <v>0.5</v>
      </c>
      <c r="G43" s="216">
        <v>3.65</v>
      </c>
      <c r="H43" s="78">
        <v>17697</v>
      </c>
      <c r="I43" s="79">
        <f t="shared" si="4"/>
        <v>64594.049999999996</v>
      </c>
      <c r="J43" s="80">
        <v>0</v>
      </c>
      <c r="K43" s="81">
        <f t="shared" si="5"/>
        <v>0</v>
      </c>
      <c r="L43" s="82">
        <v>0.1</v>
      </c>
      <c r="M43" s="83">
        <f t="shared" si="6"/>
        <v>3229.7</v>
      </c>
      <c r="N43" s="84"/>
      <c r="O43" s="81">
        <f t="shared" si="7"/>
        <v>0</v>
      </c>
      <c r="P43" s="218">
        <f t="shared" si="8"/>
        <v>35526.730000000003</v>
      </c>
      <c r="Q43" s="85">
        <f t="shared" si="14"/>
        <v>426320.76</v>
      </c>
      <c r="R43" s="189"/>
      <c r="S43" s="188"/>
      <c r="U43" s="188"/>
    </row>
    <row r="44" spans="1:21" ht="12" hidden="1" customHeight="1" x14ac:dyDescent="0.2">
      <c r="A44" s="69">
        <v>14.8333333333333</v>
      </c>
      <c r="B44" s="72" t="s">
        <v>29</v>
      </c>
      <c r="C44" s="113"/>
      <c r="D44" s="114"/>
      <c r="E44" s="121"/>
      <c r="F44" s="76"/>
      <c r="G44" s="216"/>
      <c r="H44" s="78">
        <v>17697</v>
      </c>
      <c r="I44" s="79">
        <f t="shared" si="4"/>
        <v>0</v>
      </c>
      <c r="J44" s="80">
        <v>0</v>
      </c>
      <c r="K44" s="81">
        <f t="shared" si="5"/>
        <v>0</v>
      </c>
      <c r="L44" s="82">
        <v>0.1</v>
      </c>
      <c r="M44" s="83">
        <f t="shared" si="6"/>
        <v>0</v>
      </c>
      <c r="N44" s="84"/>
      <c r="O44" s="81">
        <f t="shared" si="7"/>
        <v>0</v>
      </c>
      <c r="P44" s="218">
        <f t="shared" si="8"/>
        <v>0</v>
      </c>
      <c r="Q44" s="85">
        <f t="shared" si="14"/>
        <v>0</v>
      </c>
      <c r="R44" s="189"/>
      <c r="S44" s="188"/>
      <c r="U44" s="188"/>
    </row>
    <row r="45" spans="1:21" ht="12" hidden="1" customHeight="1" x14ac:dyDescent="0.2">
      <c r="A45" s="69">
        <v>15.3333333333333</v>
      </c>
      <c r="B45" s="72" t="s">
        <v>30</v>
      </c>
      <c r="C45" s="113"/>
      <c r="D45" s="114"/>
      <c r="E45" s="121"/>
      <c r="F45" s="76"/>
      <c r="G45" s="216"/>
      <c r="H45" s="78">
        <v>17697</v>
      </c>
      <c r="I45" s="79">
        <f t="shared" si="4"/>
        <v>0</v>
      </c>
      <c r="J45" s="80">
        <v>0</v>
      </c>
      <c r="K45" s="81">
        <f t="shared" si="5"/>
        <v>0</v>
      </c>
      <c r="L45" s="82">
        <v>0.1</v>
      </c>
      <c r="M45" s="83">
        <f t="shared" si="6"/>
        <v>0</v>
      </c>
      <c r="N45" s="84"/>
      <c r="O45" s="81">
        <f t="shared" si="7"/>
        <v>0</v>
      </c>
      <c r="P45" s="218">
        <f t="shared" si="8"/>
        <v>0</v>
      </c>
      <c r="Q45" s="85">
        <f t="shared" si="14"/>
        <v>0</v>
      </c>
      <c r="R45" s="189"/>
      <c r="S45" s="188"/>
      <c r="U45" s="188"/>
    </row>
    <row r="46" spans="1:21" ht="12" hidden="1" customHeight="1" x14ac:dyDescent="0.2">
      <c r="A46" s="69">
        <v>15.8333333333333</v>
      </c>
      <c r="B46" s="72" t="s">
        <v>31</v>
      </c>
      <c r="C46" s="113"/>
      <c r="D46" s="114"/>
      <c r="E46" s="121"/>
      <c r="F46" s="76"/>
      <c r="G46" s="216"/>
      <c r="H46" s="78">
        <v>17697</v>
      </c>
      <c r="I46" s="79">
        <f t="shared" si="4"/>
        <v>0</v>
      </c>
      <c r="J46" s="80">
        <v>0</v>
      </c>
      <c r="K46" s="81">
        <f t="shared" si="5"/>
        <v>0</v>
      </c>
      <c r="L46" s="82">
        <v>0.1</v>
      </c>
      <c r="M46" s="83">
        <f t="shared" si="6"/>
        <v>0</v>
      </c>
      <c r="N46" s="84"/>
      <c r="O46" s="81">
        <f t="shared" si="7"/>
        <v>0</v>
      </c>
      <c r="P46" s="218">
        <f t="shared" si="8"/>
        <v>0</v>
      </c>
      <c r="Q46" s="85">
        <f t="shared" si="14"/>
        <v>0</v>
      </c>
      <c r="R46" s="189"/>
      <c r="S46" s="188"/>
      <c r="U46" s="188"/>
    </row>
    <row r="47" spans="1:21" ht="12" hidden="1" customHeight="1" x14ac:dyDescent="0.2">
      <c r="A47" s="69">
        <v>16.3333333333333</v>
      </c>
      <c r="B47" s="72" t="s">
        <v>32</v>
      </c>
      <c r="C47" s="113"/>
      <c r="D47" s="114"/>
      <c r="E47" s="121"/>
      <c r="F47" s="76"/>
      <c r="G47" s="216"/>
      <c r="H47" s="78">
        <v>17697</v>
      </c>
      <c r="I47" s="79">
        <f t="shared" si="4"/>
        <v>0</v>
      </c>
      <c r="J47" s="80">
        <v>0</v>
      </c>
      <c r="K47" s="81">
        <f t="shared" si="5"/>
        <v>0</v>
      </c>
      <c r="L47" s="82">
        <v>0.1</v>
      </c>
      <c r="M47" s="83">
        <f t="shared" si="6"/>
        <v>0</v>
      </c>
      <c r="N47" s="84"/>
      <c r="O47" s="81">
        <f t="shared" si="7"/>
        <v>0</v>
      </c>
      <c r="P47" s="218">
        <f t="shared" si="8"/>
        <v>0</v>
      </c>
      <c r="Q47" s="85">
        <f t="shared" si="14"/>
        <v>0</v>
      </c>
      <c r="R47" s="189"/>
      <c r="S47" s="188"/>
      <c r="U47" s="188"/>
    </row>
    <row r="48" spans="1:21" ht="12" hidden="1" customHeight="1" x14ac:dyDescent="0.2">
      <c r="A48" s="69">
        <v>16.8333333333333</v>
      </c>
      <c r="B48" s="72" t="s">
        <v>33</v>
      </c>
      <c r="C48" s="113"/>
      <c r="D48" s="114"/>
      <c r="E48" s="121"/>
      <c r="F48" s="76"/>
      <c r="G48" s="216"/>
      <c r="H48" s="78">
        <v>17697</v>
      </c>
      <c r="I48" s="79">
        <f t="shared" si="4"/>
        <v>0</v>
      </c>
      <c r="J48" s="80">
        <v>0</v>
      </c>
      <c r="K48" s="81">
        <f t="shared" si="5"/>
        <v>0</v>
      </c>
      <c r="L48" s="82">
        <v>0.1</v>
      </c>
      <c r="M48" s="83">
        <f t="shared" si="6"/>
        <v>0</v>
      </c>
      <c r="N48" s="84"/>
      <c r="O48" s="81">
        <f t="shared" si="7"/>
        <v>0</v>
      </c>
      <c r="P48" s="218">
        <f t="shared" si="8"/>
        <v>0</v>
      </c>
      <c r="Q48" s="85">
        <f t="shared" si="14"/>
        <v>0</v>
      </c>
      <c r="R48" s="189"/>
      <c r="S48" s="188"/>
      <c r="U48" s="188"/>
    </row>
    <row r="49" spans="1:28" ht="12" customHeight="1" x14ac:dyDescent="0.2">
      <c r="A49" s="69">
        <v>7</v>
      </c>
      <c r="B49" s="72" t="s">
        <v>96</v>
      </c>
      <c r="C49" s="89" t="s">
        <v>20</v>
      </c>
      <c r="D49" s="90" t="s">
        <v>80</v>
      </c>
      <c r="E49" s="87"/>
      <c r="F49" s="220">
        <v>2</v>
      </c>
      <c r="G49" s="216">
        <v>5.3424999999999994</v>
      </c>
      <c r="H49" s="78">
        <v>17697</v>
      </c>
      <c r="I49" s="79">
        <f>G49*H49*1.25</f>
        <v>118182.77812499998</v>
      </c>
      <c r="J49" s="80">
        <v>0</v>
      </c>
      <c r="K49" s="81">
        <f t="shared" si="5"/>
        <v>0</v>
      </c>
      <c r="L49" s="82">
        <v>0.1</v>
      </c>
      <c r="M49" s="83">
        <f>ROUND(I49*L49*F49,2)+24.12</f>
        <v>23660.68</v>
      </c>
      <c r="N49" s="84"/>
      <c r="O49" s="81">
        <f t="shared" si="7"/>
        <v>0</v>
      </c>
      <c r="P49" s="218">
        <f t="shared" si="8"/>
        <v>260026.23999999999</v>
      </c>
      <c r="Q49" s="85">
        <f t="shared" si="14"/>
        <v>3120314.88</v>
      </c>
      <c r="R49" s="189">
        <f>260026.24-P49</f>
        <v>0</v>
      </c>
      <c r="S49" s="188"/>
      <c r="U49" s="188"/>
    </row>
    <row r="50" spans="1:28" ht="12" hidden="1" customHeight="1" x14ac:dyDescent="0.2">
      <c r="A50" s="69">
        <v>17.8333333333333</v>
      </c>
      <c r="B50" s="72" t="s">
        <v>81</v>
      </c>
      <c r="C50" s="113"/>
      <c r="D50" s="114"/>
      <c r="E50" s="121"/>
      <c r="F50" s="220"/>
      <c r="G50" s="216"/>
      <c r="H50" s="78">
        <v>17697</v>
      </c>
      <c r="I50" s="79">
        <f t="shared" si="4"/>
        <v>0</v>
      </c>
      <c r="J50" s="80">
        <v>0</v>
      </c>
      <c r="K50" s="81">
        <f t="shared" si="5"/>
        <v>0</v>
      </c>
      <c r="L50" s="82">
        <v>0.1</v>
      </c>
      <c r="M50" s="83">
        <f t="shared" si="6"/>
        <v>0</v>
      </c>
      <c r="N50" s="84"/>
      <c r="O50" s="81">
        <f t="shared" si="7"/>
        <v>0</v>
      </c>
      <c r="P50" s="218">
        <f t="shared" si="8"/>
        <v>0</v>
      </c>
      <c r="Q50" s="85">
        <f t="shared" si="14"/>
        <v>0</v>
      </c>
      <c r="R50" s="189"/>
      <c r="S50" s="188"/>
      <c r="U50" s="188"/>
    </row>
    <row r="51" spans="1:28" ht="12" hidden="1" customHeight="1" x14ac:dyDescent="0.2">
      <c r="A51" s="69">
        <v>18.3333333333333</v>
      </c>
      <c r="B51" s="72" t="s">
        <v>34</v>
      </c>
      <c r="C51" s="113"/>
      <c r="D51" s="114"/>
      <c r="E51" s="121"/>
      <c r="F51" s="220"/>
      <c r="G51" s="216"/>
      <c r="H51" s="78">
        <v>17697</v>
      </c>
      <c r="I51" s="79">
        <f t="shared" si="4"/>
        <v>0</v>
      </c>
      <c r="J51" s="80">
        <v>0</v>
      </c>
      <c r="K51" s="81">
        <f t="shared" si="5"/>
        <v>0</v>
      </c>
      <c r="L51" s="82">
        <v>0.1</v>
      </c>
      <c r="M51" s="83">
        <f t="shared" si="6"/>
        <v>0</v>
      </c>
      <c r="N51" s="84"/>
      <c r="O51" s="81">
        <f t="shared" si="7"/>
        <v>0</v>
      </c>
      <c r="P51" s="218">
        <f t="shared" si="8"/>
        <v>0</v>
      </c>
      <c r="Q51" s="85">
        <f t="shared" si="14"/>
        <v>0</v>
      </c>
      <c r="R51" s="189"/>
      <c r="S51" s="188"/>
      <c r="U51" s="188"/>
    </row>
    <row r="52" spans="1:28" ht="12" customHeight="1" x14ac:dyDescent="0.2">
      <c r="A52" s="69">
        <v>8</v>
      </c>
      <c r="B52" s="72" t="s">
        <v>35</v>
      </c>
      <c r="C52" s="125" t="s">
        <v>20</v>
      </c>
      <c r="D52" s="126" t="s">
        <v>80</v>
      </c>
      <c r="E52" s="121"/>
      <c r="F52" s="220">
        <v>32.5</v>
      </c>
      <c r="G52" s="216">
        <v>4.4706769230769243</v>
      </c>
      <c r="H52" s="78">
        <v>17697</v>
      </c>
      <c r="I52" s="79">
        <f>G52*H52*1.25</f>
        <v>98896.961884615419</v>
      </c>
      <c r="J52" s="80">
        <v>0</v>
      </c>
      <c r="K52" s="81">
        <f t="shared" si="5"/>
        <v>0</v>
      </c>
      <c r="L52" s="82">
        <v>0.1</v>
      </c>
      <c r="M52" s="83">
        <f>ROUND(I52*L52*F52,2)-169.95</f>
        <v>321245.18</v>
      </c>
      <c r="N52" s="84"/>
      <c r="O52" s="81">
        <f t="shared" si="7"/>
        <v>0</v>
      </c>
      <c r="P52" s="218">
        <f>ROUND((I52*F52)+M52+K52+O52,2)-0.37</f>
        <v>3535396.07</v>
      </c>
      <c r="Q52" s="85">
        <f t="shared" si="14"/>
        <v>42424752.839999996</v>
      </c>
      <c r="R52" s="189">
        <f>3535396.07-P52</f>
        <v>0</v>
      </c>
      <c r="S52" s="188"/>
      <c r="U52" s="188"/>
    </row>
    <row r="53" spans="1:28" ht="12" customHeight="1" x14ac:dyDescent="0.2">
      <c r="A53" s="69">
        <v>9</v>
      </c>
      <c r="B53" s="72" t="s">
        <v>99</v>
      </c>
      <c r="C53" s="89" t="s">
        <v>36</v>
      </c>
      <c r="D53" s="90" t="s">
        <v>82</v>
      </c>
      <c r="E53" s="127"/>
      <c r="F53" s="220">
        <v>1</v>
      </c>
      <c r="G53" s="216">
        <v>3.04</v>
      </c>
      <c r="H53" s="78">
        <v>17697</v>
      </c>
      <c r="I53" s="79">
        <f t="shared" si="4"/>
        <v>53798.879999999997</v>
      </c>
      <c r="J53" s="80">
        <v>0</v>
      </c>
      <c r="K53" s="81">
        <f t="shared" si="5"/>
        <v>0</v>
      </c>
      <c r="L53" s="82">
        <v>0.1</v>
      </c>
      <c r="M53" s="83">
        <f t="shared" si="6"/>
        <v>5379.89</v>
      </c>
      <c r="N53" s="84"/>
      <c r="O53" s="81">
        <f t="shared" si="7"/>
        <v>0</v>
      </c>
      <c r="P53" s="218">
        <f t="shared" si="8"/>
        <v>59178.77</v>
      </c>
      <c r="Q53" s="85">
        <f t="shared" si="14"/>
        <v>710145.24</v>
      </c>
      <c r="S53" s="188"/>
      <c r="U53" s="188"/>
    </row>
    <row r="54" spans="1:28" s="178" customFormat="1" ht="12" hidden="1" customHeight="1" x14ac:dyDescent="0.2">
      <c r="A54" s="223">
        <v>19.8333333333333</v>
      </c>
      <c r="B54" s="179" t="s">
        <v>37</v>
      </c>
      <c r="C54" s="224"/>
      <c r="D54" s="225"/>
      <c r="E54" s="238"/>
      <c r="F54" s="239"/>
      <c r="G54" s="228"/>
      <c r="H54" s="229">
        <v>17697</v>
      </c>
      <c r="I54" s="230">
        <f t="shared" si="4"/>
        <v>0</v>
      </c>
      <c r="J54" s="231">
        <v>0</v>
      </c>
      <c r="K54" s="232">
        <f t="shared" si="5"/>
        <v>0</v>
      </c>
      <c r="L54" s="233">
        <v>0.1</v>
      </c>
      <c r="M54" s="234">
        <f t="shared" si="6"/>
        <v>0</v>
      </c>
      <c r="N54" s="235"/>
      <c r="O54" s="232">
        <f t="shared" si="7"/>
        <v>0</v>
      </c>
      <c r="P54" s="236">
        <f t="shared" si="8"/>
        <v>0</v>
      </c>
      <c r="Q54" s="237">
        <f t="shared" si="14"/>
        <v>0</v>
      </c>
      <c r="S54" s="188"/>
      <c r="T54" s="192"/>
      <c r="U54" s="188"/>
      <c r="V54" s="190"/>
      <c r="W54" s="190"/>
      <c r="X54" s="190"/>
      <c r="Y54" s="190"/>
      <c r="Z54" s="190"/>
      <c r="AA54" s="190"/>
      <c r="AB54" s="190"/>
    </row>
    <row r="55" spans="1:28" ht="12" customHeight="1" x14ac:dyDescent="0.2">
      <c r="A55" s="69">
        <v>10</v>
      </c>
      <c r="B55" s="72" t="s">
        <v>38</v>
      </c>
      <c r="C55" s="89" t="s">
        <v>36</v>
      </c>
      <c r="D55" s="90" t="s">
        <v>82</v>
      </c>
      <c r="E55" s="121"/>
      <c r="F55" s="221">
        <v>0.25</v>
      </c>
      <c r="G55" s="216">
        <v>2.98</v>
      </c>
      <c r="H55" s="78">
        <v>17697</v>
      </c>
      <c r="I55" s="79">
        <f t="shared" si="4"/>
        <v>52737.06</v>
      </c>
      <c r="J55" s="80">
        <v>0</v>
      </c>
      <c r="K55" s="81">
        <f t="shared" si="5"/>
        <v>0</v>
      </c>
      <c r="L55" s="82">
        <v>0.1</v>
      </c>
      <c r="M55" s="83">
        <f t="shared" si="6"/>
        <v>1318.43</v>
      </c>
      <c r="N55" s="84"/>
      <c r="O55" s="81">
        <f t="shared" si="7"/>
        <v>0</v>
      </c>
      <c r="P55" s="218">
        <f t="shared" si="8"/>
        <v>14502.7</v>
      </c>
      <c r="Q55" s="85">
        <f t="shared" si="14"/>
        <v>174032.40000000002</v>
      </c>
      <c r="S55" s="188"/>
      <c r="U55" s="188"/>
    </row>
    <row r="56" spans="1:28" s="178" customFormat="1" ht="12" hidden="1" customHeight="1" x14ac:dyDescent="0.2">
      <c r="A56" s="223">
        <v>20.8333333333333</v>
      </c>
      <c r="B56" s="179" t="s">
        <v>39</v>
      </c>
      <c r="C56" s="224"/>
      <c r="D56" s="225"/>
      <c r="E56" s="226"/>
      <c r="F56" s="227"/>
      <c r="G56" s="228"/>
      <c r="H56" s="229">
        <v>17697</v>
      </c>
      <c r="I56" s="230">
        <f t="shared" si="4"/>
        <v>0</v>
      </c>
      <c r="J56" s="231">
        <v>0</v>
      </c>
      <c r="K56" s="232">
        <f t="shared" si="5"/>
        <v>0</v>
      </c>
      <c r="L56" s="233">
        <v>0.1</v>
      </c>
      <c r="M56" s="234">
        <f t="shared" si="6"/>
        <v>0</v>
      </c>
      <c r="N56" s="235"/>
      <c r="O56" s="232">
        <f t="shared" si="7"/>
        <v>0</v>
      </c>
      <c r="P56" s="236">
        <f t="shared" si="8"/>
        <v>0</v>
      </c>
      <c r="Q56" s="237">
        <f t="shared" si="14"/>
        <v>0</v>
      </c>
      <c r="S56" s="188"/>
      <c r="T56" s="190"/>
      <c r="U56" s="188"/>
      <c r="V56" s="190"/>
      <c r="W56" s="190"/>
      <c r="X56" s="190"/>
      <c r="Y56" s="190"/>
      <c r="Z56" s="190"/>
      <c r="AA56" s="190"/>
      <c r="AB56" s="190"/>
    </row>
    <row r="57" spans="1:28" s="178" customFormat="1" ht="12" hidden="1" customHeight="1" x14ac:dyDescent="0.2">
      <c r="A57" s="223">
        <v>21.3333333333333</v>
      </c>
      <c r="B57" s="179" t="s">
        <v>40</v>
      </c>
      <c r="C57" s="224"/>
      <c r="D57" s="225"/>
      <c r="E57" s="238"/>
      <c r="F57" s="227"/>
      <c r="G57" s="228"/>
      <c r="H57" s="229">
        <v>17697</v>
      </c>
      <c r="I57" s="230">
        <f t="shared" si="4"/>
        <v>0</v>
      </c>
      <c r="J57" s="231">
        <v>0</v>
      </c>
      <c r="K57" s="232">
        <f t="shared" si="5"/>
        <v>0</v>
      </c>
      <c r="L57" s="233">
        <v>0.1</v>
      </c>
      <c r="M57" s="234">
        <f t="shared" si="6"/>
        <v>0</v>
      </c>
      <c r="N57" s="235"/>
      <c r="O57" s="232">
        <f t="shared" si="7"/>
        <v>0</v>
      </c>
      <c r="P57" s="236">
        <f t="shared" si="8"/>
        <v>0</v>
      </c>
      <c r="Q57" s="237">
        <f t="shared" si="14"/>
        <v>0</v>
      </c>
      <c r="R57" s="193"/>
      <c r="S57" s="188"/>
      <c r="T57" s="190"/>
      <c r="U57" s="190"/>
      <c r="V57" s="190"/>
      <c r="W57" s="193"/>
      <c r="X57" s="193"/>
      <c r="Y57" s="190"/>
      <c r="Z57" s="190"/>
      <c r="AA57" s="190"/>
      <c r="AB57" s="190"/>
    </row>
    <row r="58" spans="1:28" ht="12" customHeight="1" x14ac:dyDescent="0.2">
      <c r="A58" s="69">
        <v>11</v>
      </c>
      <c r="B58" s="72" t="s">
        <v>41</v>
      </c>
      <c r="C58" s="89" t="s">
        <v>36</v>
      </c>
      <c r="D58" s="90" t="s">
        <v>82</v>
      </c>
      <c r="E58" s="121"/>
      <c r="F58" s="222">
        <v>17.5</v>
      </c>
      <c r="G58" s="216">
        <v>3.0922307692307696</v>
      </c>
      <c r="H58" s="78">
        <v>17697</v>
      </c>
      <c r="I58" s="79">
        <f>G58*H58</f>
        <v>54723.20792307693</v>
      </c>
      <c r="J58" s="80">
        <v>0</v>
      </c>
      <c r="K58" s="81">
        <f t="shared" si="5"/>
        <v>0</v>
      </c>
      <c r="L58" s="82">
        <v>0.1</v>
      </c>
      <c r="M58" s="83">
        <f>ROUND(I58*L58*F58,2)+18.72-23.62</f>
        <v>95760.71</v>
      </c>
      <c r="N58" s="84">
        <v>0.3</v>
      </c>
      <c r="O58" s="81">
        <f>ROUND(H58*N58,2)*F58</f>
        <v>92909.25</v>
      </c>
      <c r="P58" s="78">
        <f>ROUND((I58*F58)+M58+K58+O58,2)</f>
        <v>1146326.1000000001</v>
      </c>
      <c r="Q58" s="85">
        <f t="shared" si="14"/>
        <v>13755913.200000001</v>
      </c>
      <c r="R58" s="193">
        <f>1147677.04-P58</f>
        <v>1350.9399999999441</v>
      </c>
      <c r="S58" s="188"/>
      <c r="W58" s="193"/>
      <c r="X58" s="193"/>
    </row>
    <row r="59" spans="1:28" ht="12" customHeight="1" thickBot="1" x14ac:dyDescent="0.25">
      <c r="A59" s="93">
        <v>12</v>
      </c>
      <c r="B59" s="72" t="s">
        <v>42</v>
      </c>
      <c r="C59" s="89" t="s">
        <v>20</v>
      </c>
      <c r="D59" s="90" t="s">
        <v>80</v>
      </c>
      <c r="E59" s="87"/>
      <c r="F59" s="221">
        <v>2.5</v>
      </c>
      <c r="G59" s="216">
        <v>5.6199999999999992</v>
      </c>
      <c r="H59" s="78">
        <v>17697</v>
      </c>
      <c r="I59" s="79">
        <f>G59*H59</f>
        <v>99457.139999999985</v>
      </c>
      <c r="J59" s="80">
        <v>0</v>
      </c>
      <c r="K59" s="81">
        <f t="shared" si="5"/>
        <v>0</v>
      </c>
      <c r="L59" s="82">
        <v>0.1</v>
      </c>
      <c r="M59" s="83">
        <f>ROUND(I59*L59*F59,2)-194.67</f>
        <v>24669.620000000003</v>
      </c>
      <c r="N59" s="84"/>
      <c r="O59" s="81">
        <f t="shared" si="7"/>
        <v>0</v>
      </c>
      <c r="P59" s="78">
        <f>ROUND((I59*F59)+M59+K59+O59,2)</f>
        <v>273312.46999999997</v>
      </c>
      <c r="Q59" s="85">
        <f t="shared" si="14"/>
        <v>3279749.6399999997</v>
      </c>
      <c r="R59" s="189">
        <f>273312.47-P59</f>
        <v>0</v>
      </c>
      <c r="S59" s="188"/>
      <c r="U59" s="188"/>
    </row>
    <row r="60" spans="1:28" ht="14.25" customHeight="1" x14ac:dyDescent="0.2">
      <c r="A60" s="129">
        <v>7</v>
      </c>
      <c r="B60" s="134" t="s">
        <v>43</v>
      </c>
      <c r="C60" s="135" t="s">
        <v>18</v>
      </c>
      <c r="D60" s="136" t="s">
        <v>83</v>
      </c>
      <c r="E60" s="121"/>
      <c r="F60" s="138">
        <v>1</v>
      </c>
      <c r="G60" s="217">
        <v>3.65</v>
      </c>
      <c r="H60" s="78">
        <v>17697</v>
      </c>
      <c r="I60" s="79">
        <f>G60*H60</f>
        <v>64594.049999999996</v>
      </c>
      <c r="J60" s="80">
        <v>0</v>
      </c>
      <c r="K60" s="81">
        <f t="shared" ref="K60" si="15">ROUND(I60*J60,2)</f>
        <v>0</v>
      </c>
      <c r="L60" s="82">
        <v>0.1</v>
      </c>
      <c r="M60" s="83">
        <f t="shared" ref="M60" si="16">ROUND(I60*L60*F60,2)</f>
        <v>6459.41</v>
      </c>
      <c r="N60" s="84">
        <v>0.3</v>
      </c>
      <c r="O60" s="81">
        <f>ROUND(H60*N60,2)*F60</f>
        <v>5309.1</v>
      </c>
      <c r="P60" s="78">
        <f>ROUND((I60*F60)+M60+K60+O60,2)</f>
        <v>76362.559999999998</v>
      </c>
      <c r="Q60" s="85">
        <f>P60*12</f>
        <v>916350.72</v>
      </c>
      <c r="R60" s="189"/>
      <c r="S60" s="188"/>
      <c r="U60" s="188"/>
    </row>
    <row r="61" spans="1:28" s="41" customFormat="1" ht="13.5" customHeight="1" x14ac:dyDescent="0.2">
      <c r="A61" s="259" t="s">
        <v>84</v>
      </c>
      <c r="B61" s="260"/>
      <c r="C61" s="99"/>
      <c r="D61" s="100"/>
      <c r="E61" s="130"/>
      <c r="F61" s="182">
        <f>SUM(F25:F60)</f>
        <v>61.979166666666664</v>
      </c>
      <c r="G61" s="132"/>
      <c r="H61" s="131"/>
      <c r="I61" s="103">
        <f>SUM(I25:I60)</f>
        <v>1116834.6979326922</v>
      </c>
      <c r="J61" s="104"/>
      <c r="K61" s="105">
        <f>SUM(K25:K60)</f>
        <v>0</v>
      </c>
      <c r="L61" s="106"/>
      <c r="M61" s="107">
        <f>SUM(M25:M60)</f>
        <v>526389.74</v>
      </c>
      <c r="N61" s="108"/>
      <c r="O61" s="105">
        <f>SUM(O25:O60)</f>
        <v>98218.35</v>
      </c>
      <c r="P61" s="58">
        <f>ROUND(SUM(P25:P60),2)</f>
        <v>5891472.3099999996</v>
      </c>
      <c r="Q61" s="109">
        <f>SUM(Q25:Q60)</f>
        <v>70697667.719999999</v>
      </c>
      <c r="R61" s="194">
        <f>'[1]РАСЧЁТЫ по НОВ.МОД (3)'!W94-P61</f>
        <v>-4007626.59</v>
      </c>
      <c r="S61" s="196">
        <f>'[2]РАСЧЁТЫ по действ.сист'!W92</f>
        <v>2832816.4300000006</v>
      </c>
      <c r="T61" s="206">
        <f>P61-S61</f>
        <v>3058655.879999999</v>
      </c>
      <c r="U61" s="206" t="b">
        <f>IF(P61&lt;&gt;S61,FALSE,0)</f>
        <v>0</v>
      </c>
      <c r="V61" s="196"/>
      <c r="W61" s="209"/>
      <c r="X61" s="209"/>
      <c r="Y61" s="209"/>
      <c r="Z61" s="210"/>
      <c r="AA61" s="210"/>
      <c r="AB61" s="210"/>
    </row>
    <row r="62" spans="1:28" ht="49.5" customHeight="1" x14ac:dyDescent="0.25">
      <c r="A62" s="133"/>
      <c r="B62" s="42" t="s">
        <v>85</v>
      </c>
      <c r="C62" s="43"/>
      <c r="D62" s="44"/>
      <c r="E62" s="29"/>
      <c r="F62" s="45"/>
      <c r="G62" s="46"/>
      <c r="H62" s="45"/>
      <c r="I62" s="31"/>
      <c r="J62" s="32"/>
      <c r="K62" s="33"/>
      <c r="L62" s="34"/>
      <c r="M62" s="35"/>
      <c r="N62" s="31"/>
      <c r="O62" s="33"/>
      <c r="P62" s="30"/>
      <c r="Q62" s="111"/>
    </row>
    <row r="63" spans="1:28" ht="12" hidden="1" customHeight="1" x14ac:dyDescent="0.2">
      <c r="A63" s="110">
        <v>13</v>
      </c>
      <c r="B63" s="134" t="s">
        <v>43</v>
      </c>
      <c r="C63" s="135" t="s">
        <v>18</v>
      </c>
      <c r="D63" s="136" t="s">
        <v>83</v>
      </c>
      <c r="E63" s="137"/>
      <c r="F63" s="138">
        <f>1-1</f>
        <v>0</v>
      </c>
      <c r="G63" s="217" t="e">
        <f>#REF!-3.65</f>
        <v>#REF!</v>
      </c>
      <c r="H63" s="78">
        <v>17697</v>
      </c>
      <c r="I63" s="79" t="e">
        <f>G63*H63</f>
        <v>#REF!</v>
      </c>
      <c r="J63" s="80">
        <v>0</v>
      </c>
      <c r="K63" s="81" t="e">
        <f t="shared" ref="K63:K79" si="17">ROUND(I63*J63,2)</f>
        <v>#REF!</v>
      </c>
      <c r="L63" s="82">
        <v>0.1</v>
      </c>
      <c r="M63" s="83" t="e">
        <f t="shared" ref="M63:M79" si="18">ROUND(I63*L63*F63,2)</f>
        <v>#REF!</v>
      </c>
      <c r="N63" s="84">
        <v>0.3</v>
      </c>
      <c r="O63" s="81">
        <f>ROUND(H63*N63,2)*F63</f>
        <v>0</v>
      </c>
      <c r="P63" s="78" t="e">
        <f>ROUND((I63*F63)+M63+K63+O63,2)</f>
        <v>#REF!</v>
      </c>
      <c r="Q63" s="85" t="e">
        <f>P63*12</f>
        <v>#REF!</v>
      </c>
      <c r="S63" s="188"/>
      <c r="U63" s="188"/>
    </row>
    <row r="64" spans="1:28" ht="12" customHeight="1" x14ac:dyDescent="0.2">
      <c r="A64" s="69">
        <v>14</v>
      </c>
      <c r="B64" s="134" t="s">
        <v>44</v>
      </c>
      <c r="C64" s="139"/>
      <c r="D64" s="140"/>
      <c r="E64" s="137">
        <v>5</v>
      </c>
      <c r="F64" s="76">
        <v>2</v>
      </c>
      <c r="G64" s="216">
        <v>2.92</v>
      </c>
      <c r="H64" s="78">
        <v>17697</v>
      </c>
      <c r="I64" s="79">
        <f t="shared" ref="I64:I79" si="19">G64*H64</f>
        <v>51675.24</v>
      </c>
      <c r="J64" s="80">
        <v>0</v>
      </c>
      <c r="K64" s="81">
        <f t="shared" si="17"/>
        <v>0</v>
      </c>
      <c r="L64" s="82">
        <v>0.1</v>
      </c>
      <c r="M64" s="83">
        <f t="shared" si="18"/>
        <v>10335.049999999999</v>
      </c>
      <c r="N64" s="84">
        <v>0.3</v>
      </c>
      <c r="O64" s="81">
        <f>ROUND(H64*N64,2)*F64</f>
        <v>10618.2</v>
      </c>
      <c r="P64" s="78">
        <f>ROUND((I64*F64)+M64+K64+O64,2)</f>
        <v>124303.73</v>
      </c>
      <c r="Q64" s="85">
        <f>P64*12</f>
        <v>1491644.76</v>
      </c>
      <c r="S64" s="188"/>
      <c r="U64" s="188"/>
    </row>
    <row r="65" spans="1:28" ht="12" customHeight="1" x14ac:dyDescent="0.2">
      <c r="A65" s="69">
        <v>15</v>
      </c>
      <c r="B65" s="134" t="s">
        <v>45</v>
      </c>
      <c r="C65" s="139"/>
      <c r="D65" s="140"/>
      <c r="E65" s="137">
        <v>2</v>
      </c>
      <c r="F65" s="76">
        <v>2</v>
      </c>
      <c r="G65" s="216">
        <v>2.81</v>
      </c>
      <c r="H65" s="78">
        <v>17697</v>
      </c>
      <c r="I65" s="79">
        <f t="shared" si="19"/>
        <v>49728.57</v>
      </c>
      <c r="J65" s="80">
        <v>0</v>
      </c>
      <c r="K65" s="81">
        <f t="shared" si="17"/>
        <v>0</v>
      </c>
      <c r="L65" s="82">
        <v>0.1</v>
      </c>
      <c r="M65" s="83">
        <f t="shared" si="18"/>
        <v>9945.7099999999991</v>
      </c>
      <c r="N65" s="141"/>
      <c r="O65" s="81">
        <f t="shared" ref="O65:O79" si="20">ROUND(H65*N65,2)</f>
        <v>0</v>
      </c>
      <c r="P65" s="78">
        <f t="shared" ref="P65:P79" si="21">ROUND((I65*F65)+M65+K65+O65,2)</f>
        <v>109402.85</v>
      </c>
      <c r="Q65" s="85">
        <f t="shared" ref="Q65:Q79" si="22">P65*12</f>
        <v>1312834.2000000002</v>
      </c>
      <c r="R65" s="189"/>
      <c r="S65" s="188"/>
      <c r="U65" s="188"/>
    </row>
    <row r="66" spans="1:28" ht="12" customHeight="1" x14ac:dyDescent="0.2">
      <c r="A66" s="69">
        <v>16</v>
      </c>
      <c r="B66" s="134" t="s">
        <v>46</v>
      </c>
      <c r="C66" s="139"/>
      <c r="D66" s="140"/>
      <c r="E66" s="137">
        <v>2</v>
      </c>
      <c r="F66" s="76">
        <v>1</v>
      </c>
      <c r="G66" s="219">
        <v>2.81</v>
      </c>
      <c r="H66" s="78">
        <v>17697</v>
      </c>
      <c r="I66" s="79">
        <f t="shared" si="19"/>
        <v>49728.57</v>
      </c>
      <c r="J66" s="80">
        <v>0</v>
      </c>
      <c r="K66" s="81">
        <f t="shared" si="17"/>
        <v>0</v>
      </c>
      <c r="L66" s="82">
        <v>0.1</v>
      </c>
      <c r="M66" s="83">
        <f t="shared" si="18"/>
        <v>4972.8599999999997</v>
      </c>
      <c r="N66" s="84"/>
      <c r="O66" s="81">
        <f t="shared" si="20"/>
        <v>0</v>
      </c>
      <c r="P66" s="78">
        <f t="shared" si="21"/>
        <v>54701.43</v>
      </c>
      <c r="Q66" s="85">
        <f t="shared" si="22"/>
        <v>656417.16</v>
      </c>
      <c r="U66" s="188"/>
    </row>
    <row r="67" spans="1:28" ht="12" customHeight="1" x14ac:dyDescent="0.2">
      <c r="A67" s="69">
        <v>17</v>
      </c>
      <c r="B67" s="134" t="s">
        <v>47</v>
      </c>
      <c r="C67" s="139"/>
      <c r="D67" s="140"/>
      <c r="E67" s="137">
        <v>3</v>
      </c>
      <c r="F67" s="76">
        <v>1</v>
      </c>
      <c r="G67" s="216">
        <v>2.84</v>
      </c>
      <c r="H67" s="78">
        <v>17697</v>
      </c>
      <c r="I67" s="79">
        <f t="shared" si="19"/>
        <v>50259.479999999996</v>
      </c>
      <c r="J67" s="80">
        <v>0</v>
      </c>
      <c r="K67" s="81">
        <f t="shared" si="17"/>
        <v>0</v>
      </c>
      <c r="L67" s="82">
        <v>0.1</v>
      </c>
      <c r="M67" s="83">
        <f t="shared" si="18"/>
        <v>5025.95</v>
      </c>
      <c r="N67" s="84"/>
      <c r="O67" s="81">
        <f t="shared" si="20"/>
        <v>0</v>
      </c>
      <c r="P67" s="78">
        <f t="shared" si="21"/>
        <v>55285.43</v>
      </c>
      <c r="Q67" s="85">
        <f t="shared" si="22"/>
        <v>663425.16</v>
      </c>
      <c r="U67" s="188"/>
    </row>
    <row r="68" spans="1:28" ht="12" customHeight="1" x14ac:dyDescent="0.2">
      <c r="A68" s="69">
        <v>18</v>
      </c>
      <c r="B68" s="134" t="s">
        <v>48</v>
      </c>
      <c r="C68" s="113"/>
      <c r="D68" s="114"/>
      <c r="E68" s="115">
        <v>2</v>
      </c>
      <c r="F68" s="76">
        <v>0.5</v>
      </c>
      <c r="G68" s="219">
        <v>2.81</v>
      </c>
      <c r="H68" s="78">
        <v>17697</v>
      </c>
      <c r="I68" s="79">
        <f t="shared" si="19"/>
        <v>49728.57</v>
      </c>
      <c r="J68" s="80">
        <v>0</v>
      </c>
      <c r="K68" s="81">
        <f t="shared" si="17"/>
        <v>0</v>
      </c>
      <c r="L68" s="82">
        <v>0.1</v>
      </c>
      <c r="M68" s="83">
        <f t="shared" si="18"/>
        <v>2486.4299999999998</v>
      </c>
      <c r="N68" s="84"/>
      <c r="O68" s="81">
        <f t="shared" si="20"/>
        <v>0</v>
      </c>
      <c r="P68" s="78">
        <f t="shared" si="21"/>
        <v>27350.720000000001</v>
      </c>
      <c r="Q68" s="85">
        <f t="shared" si="22"/>
        <v>328208.64000000001</v>
      </c>
      <c r="U68" s="188"/>
    </row>
    <row r="69" spans="1:28" ht="12" hidden="1" customHeight="1" x14ac:dyDescent="0.2">
      <c r="A69" s="69">
        <v>23</v>
      </c>
      <c r="B69" s="134" t="s">
        <v>86</v>
      </c>
      <c r="C69" s="139"/>
      <c r="D69" s="140"/>
      <c r="E69" s="142"/>
      <c r="F69" s="76"/>
      <c r="G69" s="219"/>
      <c r="H69" s="78">
        <v>17697</v>
      </c>
      <c r="I69" s="79">
        <f t="shared" si="19"/>
        <v>0</v>
      </c>
      <c r="J69" s="80">
        <v>0</v>
      </c>
      <c r="K69" s="81">
        <f t="shared" si="17"/>
        <v>0</v>
      </c>
      <c r="L69" s="82">
        <v>0.1</v>
      </c>
      <c r="M69" s="83">
        <f t="shared" si="18"/>
        <v>0</v>
      </c>
      <c r="N69" s="84"/>
      <c r="O69" s="81">
        <f t="shared" si="20"/>
        <v>0</v>
      </c>
      <c r="P69" s="78">
        <f t="shared" si="21"/>
        <v>0</v>
      </c>
      <c r="Q69" s="85">
        <f t="shared" si="22"/>
        <v>0</v>
      </c>
      <c r="U69" s="188"/>
    </row>
    <row r="70" spans="1:28" ht="12" customHeight="1" x14ac:dyDescent="0.2">
      <c r="A70" s="69">
        <v>19</v>
      </c>
      <c r="B70" s="26" t="s">
        <v>49</v>
      </c>
      <c r="C70" s="139"/>
      <c r="D70" s="140"/>
      <c r="E70" s="142">
        <v>3</v>
      </c>
      <c r="F70" s="76">
        <v>3</v>
      </c>
      <c r="G70" s="216">
        <v>2.84</v>
      </c>
      <c r="H70" s="78">
        <v>17697</v>
      </c>
      <c r="I70" s="79">
        <f t="shared" si="19"/>
        <v>50259.479999999996</v>
      </c>
      <c r="J70" s="80">
        <v>0</v>
      </c>
      <c r="K70" s="81">
        <f t="shared" si="17"/>
        <v>0</v>
      </c>
      <c r="L70" s="82">
        <v>0.1</v>
      </c>
      <c r="M70" s="83">
        <f t="shared" si="18"/>
        <v>15077.84</v>
      </c>
      <c r="N70" s="84">
        <v>0.3</v>
      </c>
      <c r="O70" s="81">
        <f>ROUND(H70*N70,2)*F70</f>
        <v>15927.300000000001</v>
      </c>
      <c r="P70" s="78">
        <f t="shared" si="21"/>
        <v>181783.58</v>
      </c>
      <c r="Q70" s="85">
        <f t="shared" si="22"/>
        <v>2181402.96</v>
      </c>
      <c r="U70" s="188"/>
    </row>
    <row r="71" spans="1:28" ht="12" hidden="1" customHeight="1" x14ac:dyDescent="0.2">
      <c r="A71" s="69">
        <v>7</v>
      </c>
      <c r="B71" s="26" t="s">
        <v>50</v>
      </c>
      <c r="C71" s="139"/>
      <c r="D71" s="140"/>
      <c r="E71" s="142"/>
      <c r="F71" s="128"/>
      <c r="G71" s="219"/>
      <c r="H71" s="78">
        <v>17697</v>
      </c>
      <c r="I71" s="79">
        <f t="shared" si="19"/>
        <v>0</v>
      </c>
      <c r="J71" s="80">
        <v>0</v>
      </c>
      <c r="K71" s="81">
        <f t="shared" si="17"/>
        <v>0</v>
      </c>
      <c r="L71" s="82">
        <v>0.1</v>
      </c>
      <c r="M71" s="83">
        <f t="shared" si="18"/>
        <v>0</v>
      </c>
      <c r="N71" s="84"/>
      <c r="O71" s="81">
        <f t="shared" si="20"/>
        <v>0</v>
      </c>
      <c r="P71" s="78">
        <f t="shared" si="21"/>
        <v>0</v>
      </c>
      <c r="Q71" s="85">
        <f t="shared" si="22"/>
        <v>0</v>
      </c>
      <c r="U71" s="188"/>
    </row>
    <row r="72" spans="1:28" ht="12" hidden="1" customHeight="1" x14ac:dyDescent="0.2">
      <c r="A72" s="69">
        <v>7</v>
      </c>
      <c r="B72" s="26" t="s">
        <v>51</v>
      </c>
      <c r="C72" s="139"/>
      <c r="D72" s="140"/>
      <c r="E72" s="142"/>
      <c r="F72" s="128"/>
      <c r="G72" s="219"/>
      <c r="H72" s="78">
        <v>17697</v>
      </c>
      <c r="I72" s="79">
        <f t="shared" si="19"/>
        <v>0</v>
      </c>
      <c r="J72" s="80">
        <v>0</v>
      </c>
      <c r="K72" s="81">
        <f t="shared" si="17"/>
        <v>0</v>
      </c>
      <c r="L72" s="82">
        <v>0.1</v>
      </c>
      <c r="M72" s="83">
        <f t="shared" si="18"/>
        <v>0</v>
      </c>
      <c r="N72" s="84"/>
      <c r="O72" s="81">
        <f t="shared" si="20"/>
        <v>0</v>
      </c>
      <c r="P72" s="78">
        <f t="shared" si="21"/>
        <v>0</v>
      </c>
      <c r="Q72" s="85">
        <f t="shared" si="22"/>
        <v>0</v>
      </c>
      <c r="U72" s="188"/>
    </row>
    <row r="73" spans="1:28" ht="12" customHeight="1" x14ac:dyDescent="0.2">
      <c r="A73" s="69">
        <v>20</v>
      </c>
      <c r="B73" s="26" t="s">
        <v>52</v>
      </c>
      <c r="C73" s="139"/>
      <c r="D73" s="140"/>
      <c r="E73" s="142">
        <v>2</v>
      </c>
      <c r="F73" s="128">
        <v>1.75</v>
      </c>
      <c r="G73" s="219">
        <v>2.81</v>
      </c>
      <c r="H73" s="78">
        <v>17697</v>
      </c>
      <c r="I73" s="79">
        <f t="shared" si="19"/>
        <v>49728.57</v>
      </c>
      <c r="J73" s="80">
        <v>0</v>
      </c>
      <c r="K73" s="81">
        <f t="shared" si="17"/>
        <v>0</v>
      </c>
      <c r="L73" s="82">
        <v>0.1</v>
      </c>
      <c r="M73" s="83">
        <f t="shared" si="18"/>
        <v>8702.5</v>
      </c>
      <c r="N73" s="84">
        <v>0.3</v>
      </c>
      <c r="O73" s="81">
        <f>ROUND(H73*N73,2)*F73</f>
        <v>9290.9250000000011</v>
      </c>
      <c r="P73" s="78">
        <f t="shared" si="21"/>
        <v>105018.42</v>
      </c>
      <c r="Q73" s="85">
        <f t="shared" si="22"/>
        <v>1260221.04</v>
      </c>
      <c r="U73" s="188"/>
    </row>
    <row r="74" spans="1:28" ht="12" customHeight="1" x14ac:dyDescent="0.2">
      <c r="A74" s="69">
        <v>21</v>
      </c>
      <c r="B74" s="26" t="s">
        <v>53</v>
      </c>
      <c r="C74" s="139"/>
      <c r="D74" s="140"/>
      <c r="E74" s="137">
        <v>2</v>
      </c>
      <c r="F74" s="128">
        <v>2</v>
      </c>
      <c r="G74" s="219">
        <v>2.81</v>
      </c>
      <c r="H74" s="78">
        <v>17697</v>
      </c>
      <c r="I74" s="79">
        <f t="shared" si="19"/>
        <v>49728.57</v>
      </c>
      <c r="J74" s="80">
        <v>0</v>
      </c>
      <c r="K74" s="81">
        <f t="shared" si="17"/>
        <v>0</v>
      </c>
      <c r="L74" s="82">
        <v>0.1</v>
      </c>
      <c r="M74" s="83">
        <f t="shared" si="18"/>
        <v>9945.7099999999991</v>
      </c>
      <c r="N74" s="84"/>
      <c r="O74" s="81">
        <f t="shared" si="20"/>
        <v>0</v>
      </c>
      <c r="P74" s="78">
        <f t="shared" si="21"/>
        <v>109402.85</v>
      </c>
      <c r="Q74" s="85">
        <f t="shared" si="22"/>
        <v>1312834.2000000002</v>
      </c>
      <c r="S74" s="188"/>
      <c r="U74" s="188"/>
    </row>
    <row r="75" spans="1:28" ht="12" customHeight="1" x14ac:dyDescent="0.2">
      <c r="A75" s="69">
        <v>22</v>
      </c>
      <c r="B75" s="26" t="s">
        <v>54</v>
      </c>
      <c r="C75" s="113"/>
      <c r="D75" s="114"/>
      <c r="E75" s="121">
        <v>4</v>
      </c>
      <c r="F75" s="76">
        <v>1</v>
      </c>
      <c r="G75" s="219">
        <v>2.89</v>
      </c>
      <c r="H75" s="78">
        <v>17697</v>
      </c>
      <c r="I75" s="79">
        <f t="shared" si="19"/>
        <v>51144.33</v>
      </c>
      <c r="J75" s="80">
        <v>0</v>
      </c>
      <c r="K75" s="81">
        <f t="shared" si="17"/>
        <v>0</v>
      </c>
      <c r="L75" s="82">
        <v>0.1</v>
      </c>
      <c r="M75" s="83">
        <f t="shared" si="18"/>
        <v>5114.43</v>
      </c>
      <c r="N75" s="84"/>
      <c r="O75" s="81">
        <f t="shared" si="20"/>
        <v>0</v>
      </c>
      <c r="P75" s="78">
        <f t="shared" si="21"/>
        <v>56258.76</v>
      </c>
      <c r="Q75" s="85">
        <f t="shared" si="22"/>
        <v>675105.12</v>
      </c>
      <c r="U75" s="188"/>
    </row>
    <row r="76" spans="1:28" ht="12" hidden="1" customHeight="1" x14ac:dyDescent="0.2">
      <c r="A76" s="69">
        <v>7</v>
      </c>
      <c r="B76" s="26" t="s">
        <v>55</v>
      </c>
      <c r="C76" s="113"/>
      <c r="D76" s="114"/>
      <c r="E76" s="143"/>
      <c r="F76" s="128"/>
      <c r="G76" s="219"/>
      <c r="H76" s="78">
        <v>17697</v>
      </c>
      <c r="I76" s="79">
        <f t="shared" si="19"/>
        <v>0</v>
      </c>
      <c r="J76" s="80">
        <v>0</v>
      </c>
      <c r="K76" s="81">
        <f t="shared" si="17"/>
        <v>0</v>
      </c>
      <c r="L76" s="82">
        <v>0.1</v>
      </c>
      <c r="M76" s="83">
        <f t="shared" si="18"/>
        <v>0</v>
      </c>
      <c r="N76" s="84"/>
      <c r="O76" s="81">
        <f t="shared" si="20"/>
        <v>0</v>
      </c>
      <c r="P76" s="78">
        <f t="shared" si="21"/>
        <v>0</v>
      </c>
      <c r="Q76" s="85">
        <f t="shared" si="22"/>
        <v>0</v>
      </c>
      <c r="U76" s="188"/>
    </row>
    <row r="77" spans="1:28" ht="12" customHeight="1" x14ac:dyDescent="0.2">
      <c r="A77" s="69">
        <v>23</v>
      </c>
      <c r="B77" s="26" t="s">
        <v>56</v>
      </c>
      <c r="C77" s="113"/>
      <c r="D77" s="114"/>
      <c r="E77" s="121">
        <v>3</v>
      </c>
      <c r="F77" s="128">
        <v>0.5</v>
      </c>
      <c r="G77" s="219">
        <v>2.84</v>
      </c>
      <c r="H77" s="78">
        <v>17697</v>
      </c>
      <c r="I77" s="79">
        <f t="shared" si="19"/>
        <v>50259.479999999996</v>
      </c>
      <c r="J77" s="80">
        <v>0</v>
      </c>
      <c r="K77" s="81">
        <f t="shared" si="17"/>
        <v>0</v>
      </c>
      <c r="L77" s="82">
        <v>0.1</v>
      </c>
      <c r="M77" s="83">
        <f t="shared" si="18"/>
        <v>2512.9699999999998</v>
      </c>
      <c r="N77" s="84"/>
      <c r="O77" s="81">
        <f t="shared" si="20"/>
        <v>0</v>
      </c>
      <c r="P77" s="78">
        <f t="shared" si="21"/>
        <v>27642.71</v>
      </c>
      <c r="Q77" s="85">
        <f t="shared" si="22"/>
        <v>331712.52</v>
      </c>
      <c r="U77" s="188"/>
    </row>
    <row r="78" spans="1:28" ht="12" customHeight="1" x14ac:dyDescent="0.2">
      <c r="A78" s="69">
        <v>24</v>
      </c>
      <c r="B78" s="144" t="s">
        <v>57</v>
      </c>
      <c r="C78" s="139"/>
      <c r="D78" s="140"/>
      <c r="E78" s="145">
        <v>1</v>
      </c>
      <c r="F78" s="76">
        <v>3</v>
      </c>
      <c r="G78" s="216">
        <v>2.77</v>
      </c>
      <c r="H78" s="78">
        <v>17697</v>
      </c>
      <c r="I78" s="79">
        <f t="shared" si="19"/>
        <v>49020.69</v>
      </c>
      <c r="J78" s="80">
        <v>0</v>
      </c>
      <c r="K78" s="81">
        <f t="shared" si="17"/>
        <v>0</v>
      </c>
      <c r="L78" s="82">
        <v>0.1</v>
      </c>
      <c r="M78" s="83">
        <f t="shared" si="18"/>
        <v>14706.21</v>
      </c>
      <c r="N78" s="84"/>
      <c r="O78" s="81">
        <f>25896-25896+19846.27*3-59538.81+4981.56*3</f>
        <v>14944.68</v>
      </c>
      <c r="P78" s="78">
        <f>ROUND((I78*F78)+M78+K78+O78,2)</f>
        <v>176712.95999999999</v>
      </c>
      <c r="Q78" s="85">
        <f t="shared" si="22"/>
        <v>2120555.52</v>
      </c>
      <c r="U78" s="188"/>
    </row>
    <row r="79" spans="1:28" ht="12" customHeight="1" thickBot="1" x14ac:dyDescent="0.25">
      <c r="A79" s="93">
        <v>25</v>
      </c>
      <c r="B79" s="146" t="s">
        <v>58</v>
      </c>
      <c r="C79" s="139"/>
      <c r="D79" s="140"/>
      <c r="E79" s="137">
        <v>2</v>
      </c>
      <c r="F79" s="76">
        <v>1</v>
      </c>
      <c r="G79" s="216">
        <v>2.81</v>
      </c>
      <c r="H79" s="78">
        <v>17697</v>
      </c>
      <c r="I79" s="79">
        <f t="shared" si="19"/>
        <v>49728.57</v>
      </c>
      <c r="J79" s="80">
        <v>0</v>
      </c>
      <c r="K79" s="81">
        <f t="shared" si="17"/>
        <v>0</v>
      </c>
      <c r="L79" s="82">
        <v>0.1</v>
      </c>
      <c r="M79" s="83">
        <f t="shared" si="18"/>
        <v>4972.8599999999997</v>
      </c>
      <c r="N79" s="84"/>
      <c r="O79" s="81">
        <f t="shared" si="20"/>
        <v>0</v>
      </c>
      <c r="P79" s="78">
        <f t="shared" si="21"/>
        <v>54701.43</v>
      </c>
      <c r="Q79" s="85">
        <f t="shared" si="22"/>
        <v>656417.16</v>
      </c>
      <c r="R79" s="189"/>
      <c r="S79" s="188"/>
      <c r="U79" s="188"/>
    </row>
    <row r="80" spans="1:28" s="41" customFormat="1" ht="20.25" customHeight="1" thickBot="1" x14ac:dyDescent="0.25">
      <c r="A80" s="261" t="s">
        <v>59</v>
      </c>
      <c r="B80" s="262"/>
      <c r="C80" s="147"/>
      <c r="D80" s="148"/>
      <c r="E80" s="149"/>
      <c r="F80" s="62">
        <f>SUM(F62:F79)</f>
        <v>18.75</v>
      </c>
      <c r="G80" s="150"/>
      <c r="H80" s="62"/>
      <c r="I80" s="151"/>
      <c r="J80" s="152"/>
      <c r="K80" s="153"/>
      <c r="L80" s="154"/>
      <c r="M80" s="62">
        <f>M64+M65+M66+M67+M68+M70+M73+M74+M75+M77+M78+M79</f>
        <v>93798.519999999975</v>
      </c>
      <c r="N80" s="155"/>
      <c r="O80" s="153">
        <f>SUM(O62:O79)</f>
        <v>50781.105000000003</v>
      </c>
      <c r="P80" s="62">
        <f t="shared" ref="P80:Q80" si="23">P64+P65+P66+P67+P68+P70+P73+P74+P75+P77+P78+P79</f>
        <v>1082564.8699999999</v>
      </c>
      <c r="Q80" s="62">
        <f t="shared" si="23"/>
        <v>12990778.439999999</v>
      </c>
      <c r="R80" s="195"/>
      <c r="S80" s="211">
        <f>'[2]РАСЧЁТЫ по действ.сист'!W121</f>
        <v>639994.48</v>
      </c>
      <c r="T80" s="212">
        <f>P80-S80</f>
        <v>442570.3899999999</v>
      </c>
      <c r="U80" s="206" t="b">
        <f>IF(P80&lt;&gt;S80,FALSE,0)</f>
        <v>0</v>
      </c>
      <c r="V80" s="209"/>
      <c r="W80" s="209"/>
      <c r="X80" s="209"/>
      <c r="Y80" s="209"/>
      <c r="Z80" s="210"/>
      <c r="AA80" s="210"/>
      <c r="AB80" s="210"/>
    </row>
    <row r="81" spans="1:28" s="41" customFormat="1" ht="19.5" customHeight="1" thickBot="1" x14ac:dyDescent="0.25">
      <c r="A81" s="263" t="s">
        <v>87</v>
      </c>
      <c r="B81" s="264"/>
      <c r="C81" s="251"/>
      <c r="D81" s="156"/>
      <c r="E81" s="157"/>
      <c r="F81" s="181">
        <f>F23+F61+F80</f>
        <v>84.229166666666657</v>
      </c>
      <c r="G81" s="159"/>
      <c r="H81" s="160"/>
      <c r="I81" s="161"/>
      <c r="J81" s="160"/>
      <c r="K81" s="157"/>
      <c r="L81" s="160"/>
      <c r="M81" s="158">
        <f>M23+M61+M80</f>
        <v>654423.11</v>
      </c>
      <c r="N81" s="162"/>
      <c r="O81" s="163">
        <f>O23+O61+O80</f>
        <v>148999.45500000002</v>
      </c>
      <c r="P81" s="158">
        <f>P23+P61+P80-0.05</f>
        <v>7350620.4500000002</v>
      </c>
      <c r="Q81" s="164">
        <f>Q23+Q61+Q80</f>
        <v>88207446</v>
      </c>
      <c r="R81" s="196"/>
      <c r="S81" s="209"/>
      <c r="T81" s="209"/>
      <c r="U81" s="209"/>
      <c r="V81" s="209"/>
      <c r="W81" s="209"/>
      <c r="X81" s="209"/>
      <c r="Y81" s="209"/>
      <c r="Z81" s="210"/>
      <c r="AA81" s="210"/>
      <c r="AB81" s="210"/>
    </row>
    <row r="82" spans="1:28" x14ac:dyDescent="0.2">
      <c r="A82" s="3"/>
      <c r="B82" s="64"/>
      <c r="C82" s="64"/>
      <c r="D82" s="65"/>
      <c r="E82" s="3"/>
      <c r="F82" s="167"/>
      <c r="G82" s="165"/>
      <c r="H82" s="165"/>
      <c r="I82" s="165"/>
      <c r="J82" s="165"/>
      <c r="K82" s="165"/>
      <c r="L82" s="165"/>
      <c r="M82" s="165"/>
      <c r="N82" s="165"/>
      <c r="O82" s="165"/>
      <c r="P82" s="184">
        <f>P81-7350620.5</f>
        <v>-4.9999999813735485E-2</v>
      </c>
      <c r="Q82" s="3"/>
      <c r="S82" s="291" t="s">
        <v>88</v>
      </c>
      <c r="T82" s="213" t="s">
        <v>89</v>
      </c>
      <c r="U82" s="213" t="s">
        <v>90</v>
      </c>
    </row>
    <row r="83" spans="1:28" x14ac:dyDescent="0.2">
      <c r="A83" s="3"/>
      <c r="B83" s="64"/>
      <c r="C83" s="64"/>
      <c r="D83" s="65"/>
      <c r="E83" s="3"/>
      <c r="F83" s="167"/>
      <c r="G83" s="165"/>
      <c r="H83" s="165"/>
      <c r="I83" s="165"/>
      <c r="J83" s="165"/>
      <c r="K83" s="165"/>
      <c r="L83" s="165"/>
      <c r="M83" s="165"/>
      <c r="N83" s="165"/>
      <c r="O83" s="165"/>
      <c r="P83" s="184"/>
      <c r="Q83" s="3"/>
      <c r="S83" s="291"/>
      <c r="T83" s="213"/>
      <c r="U83" s="213"/>
    </row>
    <row r="84" spans="1:28" x14ac:dyDescent="0.2">
      <c r="A84" s="3"/>
      <c r="B84" s="64"/>
      <c r="C84" s="64"/>
      <c r="D84" s="65"/>
      <c r="E84" s="3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6"/>
      <c r="Q84" s="3"/>
      <c r="S84" s="291"/>
      <c r="T84" s="213"/>
      <c r="U84" s="213"/>
    </row>
    <row r="85" spans="1:28" x14ac:dyDescent="0.2">
      <c r="A85" s="3"/>
      <c r="B85" s="64"/>
      <c r="C85" s="64"/>
      <c r="D85" s="65"/>
      <c r="E85" s="3"/>
      <c r="F85" s="165"/>
      <c r="G85" s="165"/>
      <c r="H85" s="165"/>
      <c r="I85" s="165"/>
      <c r="J85" s="165"/>
      <c r="K85" s="165"/>
      <c r="L85" s="165"/>
      <c r="M85" s="166"/>
      <c r="N85" s="165"/>
      <c r="O85" s="165"/>
      <c r="P85" s="166"/>
      <c r="Q85" s="3"/>
      <c r="S85" s="291"/>
      <c r="T85" s="213"/>
      <c r="U85" s="213"/>
    </row>
    <row r="86" spans="1:28" ht="15" customHeight="1" x14ac:dyDescent="0.2">
      <c r="A86" s="3"/>
      <c r="B86" s="245" t="s">
        <v>17</v>
      </c>
      <c r="C86" s="245"/>
      <c r="D86" s="2"/>
      <c r="E86" s="252"/>
      <c r="F86" s="252"/>
      <c r="G86" s="252"/>
      <c r="H86" s="253"/>
      <c r="I86" s="265" t="s">
        <v>16</v>
      </c>
      <c r="J86" s="265"/>
      <c r="K86" s="265"/>
      <c r="L86" s="265"/>
      <c r="M86" s="265"/>
      <c r="N86" s="265"/>
      <c r="O86" s="265"/>
      <c r="P86" s="167"/>
      <c r="Q86" s="3"/>
      <c r="S86" s="291"/>
      <c r="T86" s="214">
        <f>'[2]РАСЧЁТЫ по действ.сист'!AE128</f>
        <v>87.25</v>
      </c>
      <c r="U86" s="214">
        <f>'[2]РАСЧЁТЫ по действ.сист'!AF128</f>
        <v>3630880.51</v>
      </c>
    </row>
    <row r="87" spans="1:28" x14ac:dyDescent="0.2">
      <c r="A87" s="3"/>
      <c r="B87" s="64"/>
      <c r="C87" s="64"/>
      <c r="D87" s="65"/>
      <c r="E87" s="3"/>
      <c r="F87" s="253" t="s">
        <v>60</v>
      </c>
      <c r="G87" s="165"/>
      <c r="H87" s="165"/>
      <c r="I87" s="266" t="s">
        <v>91</v>
      </c>
      <c r="J87" s="266"/>
      <c r="K87" s="266"/>
      <c r="L87" s="266"/>
      <c r="M87" s="266"/>
      <c r="N87" s="266"/>
      <c r="O87" s="266"/>
      <c r="P87" s="168">
        <f>'[1]РАСЧЁТЫ по НОВ.МОД (3)'!W122-P80</f>
        <v>-393566.69999999984</v>
      </c>
      <c r="Q87" s="3"/>
      <c r="S87" s="197"/>
      <c r="T87" s="198"/>
      <c r="U87" s="198"/>
    </row>
    <row r="88" spans="1:28" x14ac:dyDescent="0.2">
      <c r="A88" s="3"/>
      <c r="B88" s="64"/>
      <c r="C88" s="64"/>
      <c r="D88" s="65"/>
      <c r="E88" s="3"/>
      <c r="F88" s="165"/>
      <c r="G88" s="165"/>
      <c r="H88" s="165"/>
      <c r="I88" s="165"/>
      <c r="J88" s="165"/>
      <c r="K88" s="165"/>
      <c r="L88" s="165"/>
      <c r="M88" s="165"/>
      <c r="N88" s="169"/>
      <c r="O88" s="165"/>
      <c r="P88" s="167"/>
      <c r="Q88" s="170"/>
    </row>
    <row r="89" spans="1:28" x14ac:dyDescent="0.2">
      <c r="A89" s="171"/>
      <c r="B89" s="64"/>
      <c r="C89" s="64"/>
      <c r="D89" s="65"/>
      <c r="E89" s="3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72">
        <f>'[1]РАСЧЁТЫ по НОВ.МОД (3)'!W46+'[1]РАСЧЁТЫ по НОВ.МОД (3)'!W47+'[1]РАСЧЁТЫ по НОВ.МОД (3)'!W48+'[1]РАСЧЁТЫ по НОВ.МОД (3)'!W49+'[1]РАСЧЁТЫ по НОВ.МОД (3)'!W50+'[1]РАСЧЁТЫ по НОВ.МОД (3)'!W56+'[1]РАСЧЁТЫ по НОВ.МОД (3)'!W57+'[1]РАСЧЁТЫ по НОВ.МОД (3)'!W58+'[1]РАСЧЁТЫ по НОВ.МОД (3)'!W59+'[1]РАСЧЁТЫ по НОВ.МОД (3)'!W60+'[1]РАСЧЁТЫ по НОВ.МОД (3)'!W61+'[1]РАСЧЁТЫ по НОВ.МОД (3)'!W62+'[1]РАСЧЁТЫ по НОВ.МОД (3)'!W63+'[1]РАСЧЁТЫ по НОВ.МОД (3)'!W64+'[1]РАСЧЁТЫ по НОВ.МОД (3)'!W65+'[1]РАСЧЁТЫ по НОВ.МОД (3)'!W70-P52</f>
        <v>-2432607.5</v>
      </c>
      <c r="Q89" s="3"/>
      <c r="S89" s="291" t="s">
        <v>88</v>
      </c>
      <c r="T89" s="213" t="s">
        <v>92</v>
      </c>
      <c r="U89" s="213" t="s">
        <v>93</v>
      </c>
    </row>
    <row r="90" spans="1:28" x14ac:dyDescent="0.2">
      <c r="A90" s="171"/>
      <c r="B90" s="64"/>
      <c r="C90" s="64"/>
      <c r="D90" s="65"/>
      <c r="E90" s="3"/>
      <c r="F90" s="165"/>
      <c r="G90" s="165"/>
      <c r="H90" s="165"/>
      <c r="I90" s="165"/>
      <c r="J90" s="165"/>
      <c r="K90" s="165"/>
      <c r="L90" s="165"/>
      <c r="M90" s="165"/>
      <c r="N90" s="169"/>
      <c r="O90" s="165"/>
      <c r="P90" s="165"/>
      <c r="Q90" s="3"/>
      <c r="S90" s="291"/>
      <c r="T90" s="214">
        <f>F81</f>
        <v>84.229166666666657</v>
      </c>
      <c r="U90" s="214">
        <f>P81</f>
        <v>7350620.4500000002</v>
      </c>
    </row>
    <row r="91" spans="1:28" s="50" customFormat="1" ht="41.25" customHeight="1" x14ac:dyDescent="0.2">
      <c r="A91" s="49"/>
      <c r="B91" s="257"/>
      <c r="C91" s="257"/>
      <c r="D91" s="257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174"/>
      <c r="S91" s="199"/>
      <c r="T91" s="199"/>
      <c r="U91" s="199"/>
      <c r="V91" s="199"/>
      <c r="W91" s="199"/>
      <c r="X91" s="199"/>
      <c r="Y91" s="199"/>
      <c r="Z91" s="49"/>
      <c r="AA91" s="49"/>
      <c r="AB91" s="49"/>
    </row>
    <row r="92" spans="1:28" x14ac:dyDescent="0.2">
      <c r="A92" s="171"/>
      <c r="B92" s="64"/>
      <c r="C92" s="64"/>
      <c r="D92" s="65"/>
      <c r="E92" s="3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73">
        <f>'[1]РАСЧЁТЫ по НОВ.МОД (3)'!W78+'[1]РАСЧЁТЫ по НОВ.МОД (3)'!W79+'[1]РАСЧЁТЫ по НОВ.МОД (3)'!W80+'[1]РАСЧЁТЫ по НОВ.МОД (3)'!W81+'[1]РАСЧЁТЫ по НОВ.МОД (3)'!W84+'[1]РАСЧЁТЫ по НОВ.МОД (3)'!W85+'[1]РАСЧЁТЫ по НОВ.МОД (3)'!W86+'[1]РАСЧЁТЫ по НОВ.МОД (3)'!W87+'[1]РАСЧЁТЫ по НОВ.МОД (3)'!W90-P58</f>
        <v>-770176.33000000007</v>
      </c>
      <c r="Q92" s="174"/>
      <c r="S92" s="291" t="s">
        <v>94</v>
      </c>
      <c r="T92" s="213" t="s">
        <v>95</v>
      </c>
      <c r="U92" s="213" t="s">
        <v>95</v>
      </c>
    </row>
    <row r="93" spans="1:28" s="50" customFormat="1" x14ac:dyDescent="0.2">
      <c r="A93" s="49"/>
      <c r="B93" s="257"/>
      <c r="C93" s="257"/>
      <c r="D93" s="257"/>
      <c r="E93" s="258"/>
      <c r="F93" s="258"/>
      <c r="G93" s="258"/>
      <c r="H93" s="258"/>
      <c r="I93" s="258"/>
      <c r="J93" s="258"/>
      <c r="K93" s="258"/>
      <c r="L93" s="258"/>
      <c r="M93" s="258"/>
      <c r="N93" s="51"/>
      <c r="O93" s="51"/>
      <c r="P93" s="175"/>
      <c r="Q93" s="176">
        <f>P61-'[1]РАСЧЁТЫ по НОВ.МОД (3)'!W94</f>
        <v>4007626.59</v>
      </c>
      <c r="R93" s="174"/>
      <c r="S93" s="291"/>
      <c r="T93" s="214">
        <f>T86-T90</f>
        <v>3.0208333333333428</v>
      </c>
      <c r="U93" s="214">
        <f>U86-U90</f>
        <v>-3719739.9400000004</v>
      </c>
      <c r="V93" s="199"/>
      <c r="W93" s="199"/>
      <c r="X93" s="199"/>
      <c r="Y93" s="199"/>
      <c r="Z93" s="49"/>
      <c r="AA93" s="49"/>
      <c r="AB93" s="49"/>
    </row>
    <row r="94" spans="1:28" x14ac:dyDescent="0.2">
      <c r="A94" s="24"/>
      <c r="P94" s="177"/>
      <c r="Q94" s="178"/>
    </row>
    <row r="95" spans="1:28" x14ac:dyDescent="0.2">
      <c r="M95" s="48"/>
    </row>
  </sheetData>
  <mergeCells count="43">
    <mergeCell ref="B91:Q91"/>
    <mergeCell ref="S92:S93"/>
    <mergeCell ref="B93:M93"/>
    <mergeCell ref="A80:B80"/>
    <mergeCell ref="A81:B81"/>
    <mergeCell ref="S82:S86"/>
    <mergeCell ref="I86:O86"/>
    <mergeCell ref="I87:O87"/>
    <mergeCell ref="S89:S90"/>
    <mergeCell ref="W14:AC14"/>
    <mergeCell ref="U15:AC15"/>
    <mergeCell ref="T16:AC16"/>
    <mergeCell ref="U17:AC17"/>
    <mergeCell ref="A23:B23"/>
    <mergeCell ref="A61:B61"/>
    <mergeCell ref="I14:I15"/>
    <mergeCell ref="J14:K14"/>
    <mergeCell ref="L14:M14"/>
    <mergeCell ref="N14:O14"/>
    <mergeCell ref="P14:P15"/>
    <mergeCell ref="Q14:Q15"/>
    <mergeCell ref="U13:V13"/>
    <mergeCell ref="W13:AC13"/>
    <mergeCell ref="A14:A15"/>
    <mergeCell ref="B14:B15"/>
    <mergeCell ref="C14:C15"/>
    <mergeCell ref="D14:D15"/>
    <mergeCell ref="E14:E15"/>
    <mergeCell ref="F14:F15"/>
    <mergeCell ref="G14:G15"/>
    <mergeCell ref="H14:H15"/>
    <mergeCell ref="G7:Q7"/>
    <mergeCell ref="B9:Q9"/>
    <mergeCell ref="A10:Q10"/>
    <mergeCell ref="A11:Q11"/>
    <mergeCell ref="A12:Q12"/>
    <mergeCell ref="W12:AC12"/>
    <mergeCell ref="B2:E2"/>
    <mergeCell ref="G2:Q2"/>
    <mergeCell ref="G3:N3"/>
    <mergeCell ref="I4:Q4"/>
    <mergeCell ref="G5:Q5"/>
    <mergeCell ref="F6:Q6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штатка2021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2021-07-02T09:36:52Z</dcterms:modified>
</cp:coreProperties>
</file>