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 defaultThemeVersion="124226"/>
  <xr:revisionPtr revIDLastSave="0" documentId="13_ncr:1_{6618CF74-8317-4F0A-982E-2EB47D71BF48}" xr6:coauthVersionLast="46" xr6:coauthVersionMax="46" xr10:uidLastSave="{00000000-0000-0000-0000-000000000000}"/>
  <bookViews>
    <workbookView xWindow="-120" yWindow="-120" windowWidth="29040" windowHeight="15840" firstSheet="11" activeTab="14" xr2:uid="{00000000-000D-0000-FFFF-FFFF00000000}"/>
  </bookViews>
  <sheets>
    <sheet name="штатка на 1.09" sheetId="3" r:id="rId1"/>
    <sheet name="точная" sheetId="4" r:id="rId2"/>
    <sheet name="штатка на 01 сентября" sheetId="2" r:id="rId3"/>
    <sheet name="расч к штатке на 1 сен 2016 г" sheetId="5" r:id="rId4"/>
    <sheet name="Лист3" sheetId="13" r:id="rId5"/>
    <sheet name="расч к штатке на 1 янв 2017 (2" sheetId="10" r:id="rId6"/>
    <sheet name="штатка на 1 янв 2017 г. (2)" sheetId="9" r:id="rId7"/>
    <sheet name="Лист1" sheetId="15" r:id="rId8"/>
    <sheet name="штатка на 1 июня  2017 г." sheetId="8" r:id="rId9"/>
    <sheet name="расч к штатке на 1 июня 2017 г." sheetId="6" r:id="rId10"/>
    <sheet name="штатка на 01 сентября 2017" sheetId="11" r:id="rId11"/>
    <sheet name="расч к штатке на 1 сентября 20" sheetId="12" r:id="rId12"/>
    <sheet name="сент2018" sheetId="16" r:id="rId13"/>
    <sheet name=" сентябрь 2019" sheetId="14" r:id="rId14"/>
    <sheet name="январь 2021" sheetId="17" r:id="rId15"/>
  </sheets>
  <externalReferences>
    <externalReference r:id="rId16"/>
  </externalReferences>
  <calcPr calcId="191029"/>
</workbook>
</file>

<file path=xl/calcChain.xml><?xml version="1.0" encoding="utf-8"?>
<calcChain xmlns="http://schemas.openxmlformats.org/spreadsheetml/2006/main">
  <c r="AB61" i="17" l="1"/>
  <c r="AB62" i="17"/>
  <c r="W61" i="17"/>
  <c r="Q61" i="17"/>
  <c r="U61" i="17" s="1"/>
  <c r="Y61" i="17"/>
  <c r="Q26" i="17"/>
  <c r="U26" i="17" s="1"/>
  <c r="Q21" i="17"/>
  <c r="Q22" i="17"/>
  <c r="Q23" i="17"/>
  <c r="Q24" i="17"/>
  <c r="Q25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W56" i="17" s="1"/>
  <c r="Q57" i="17"/>
  <c r="Q58" i="17"/>
  <c r="Q59" i="17"/>
  <c r="Q60" i="17"/>
  <c r="W60" i="17" s="1"/>
  <c r="Q62" i="17"/>
  <c r="W62" i="17" s="1"/>
  <c r="Q63" i="17"/>
  <c r="Q64" i="17"/>
  <c r="Q65" i="17"/>
  <c r="Q66" i="17"/>
  <c r="Q67" i="17"/>
  <c r="Q20" i="17"/>
  <c r="Q12" i="17"/>
  <c r="W12" i="17" s="1"/>
  <c r="Q13" i="17"/>
  <c r="Q14" i="17"/>
  <c r="Q15" i="17"/>
  <c r="W15" i="17" s="1"/>
  <c r="Q16" i="17"/>
  <c r="Q17" i="17"/>
  <c r="W17" i="17" s="1"/>
  <c r="Q18" i="17"/>
  <c r="Q19" i="17"/>
  <c r="Q11" i="17"/>
  <c r="Q9" i="17"/>
  <c r="Q10" i="17"/>
  <c r="V13" i="17"/>
  <c r="W13" i="17" s="1"/>
  <c r="V11" i="17"/>
  <c r="W63" i="17"/>
  <c r="AB12" i="17" l="1"/>
  <c r="AB13" i="17"/>
  <c r="W26" i="17"/>
  <c r="AB26" i="17" s="1"/>
  <c r="AB15" i="17"/>
  <c r="W11" i="17"/>
  <c r="AB11" i="17" s="1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4" i="17"/>
  <c r="U45" i="17"/>
  <c r="U46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2" i="17"/>
  <c r="U63" i="17"/>
  <c r="U64" i="17"/>
  <c r="U65" i="17"/>
  <c r="U66" i="17"/>
  <c r="U67" i="17"/>
  <c r="U9" i="17"/>
  <c r="I68" i="17"/>
  <c r="M68" i="17"/>
  <c r="Y9" i="17"/>
  <c r="V9" i="17"/>
  <c r="R9" i="17"/>
  <c r="R12" i="17"/>
  <c r="Y12" i="17"/>
  <c r="AA40" i="17" l="1"/>
  <c r="W9" i="17"/>
  <c r="AB9" i="17" s="1"/>
  <c r="W20" i="17"/>
  <c r="Y11" i="17"/>
  <c r="Y10" i="17"/>
  <c r="Y14" i="17"/>
  <c r="Y15" i="17"/>
  <c r="Y16" i="17"/>
  <c r="Y17" i="17"/>
  <c r="AB17" i="17" s="1"/>
  <c r="Y18" i="17"/>
  <c r="Y19" i="17"/>
  <c r="Y20" i="17"/>
  <c r="Y21" i="17"/>
  <c r="Y22" i="17"/>
  <c r="Y23" i="17"/>
  <c r="Y24" i="17"/>
  <c r="Y25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AB56" i="17" s="1"/>
  <c r="Y57" i="17"/>
  <c r="Y58" i="17"/>
  <c r="Y59" i="17"/>
  <c r="Y60" i="17"/>
  <c r="AB60" i="17" s="1"/>
  <c r="Y62" i="17"/>
  <c r="Y63" i="17"/>
  <c r="AB63" i="17" s="1"/>
  <c r="Y64" i="17"/>
  <c r="Y65" i="17"/>
  <c r="Y66" i="17"/>
  <c r="Y67" i="17"/>
  <c r="S9" i="17" l="1"/>
  <c r="AB20" i="17"/>
  <c r="S12" i="17"/>
  <c r="R63" i="17" l="1"/>
  <c r="W34" i="17"/>
  <c r="AB34" i="17" s="1"/>
  <c r="S63" i="17" l="1"/>
  <c r="N68" i="17" l="1"/>
  <c r="V67" i="17"/>
  <c r="W67" i="17" s="1"/>
  <c r="AB67" i="17" s="1"/>
  <c r="R67" i="17"/>
  <c r="B67" i="17"/>
  <c r="V66" i="17"/>
  <c r="W66" i="17" s="1"/>
  <c r="AB66" i="17" s="1"/>
  <c r="R66" i="17"/>
  <c r="V65" i="17"/>
  <c r="W65" i="17" s="1"/>
  <c r="AB65" i="17" s="1"/>
  <c r="R65" i="17"/>
  <c r="B65" i="17"/>
  <c r="V64" i="17"/>
  <c r="W64" i="17" s="1"/>
  <c r="AB64" i="17" s="1"/>
  <c r="R64" i="17"/>
  <c r="R62" i="17"/>
  <c r="R60" i="17"/>
  <c r="V59" i="17"/>
  <c r="W59" i="17" s="1"/>
  <c r="AB59" i="17" s="1"/>
  <c r="R59" i="17"/>
  <c r="V58" i="17"/>
  <c r="W58" i="17" s="1"/>
  <c r="AB58" i="17" s="1"/>
  <c r="R58" i="17"/>
  <c r="V57" i="17"/>
  <c r="W57" i="17" s="1"/>
  <c r="AB57" i="17" s="1"/>
  <c r="R57" i="17"/>
  <c r="R56" i="17"/>
  <c r="V55" i="17"/>
  <c r="W55" i="17" s="1"/>
  <c r="AB55" i="17" s="1"/>
  <c r="R55" i="17"/>
  <c r="AH54" i="17"/>
  <c r="AE54" i="17"/>
  <c r="AF54" i="17" s="1"/>
  <c r="V54" i="17"/>
  <c r="W54" i="17" s="1"/>
  <c r="AB54" i="17" s="1"/>
  <c r="R54" i="17"/>
  <c r="AH53" i="17"/>
  <c r="AE53" i="17"/>
  <c r="AF53" i="17" s="1"/>
  <c r="V53" i="17"/>
  <c r="W53" i="17" s="1"/>
  <c r="AB53" i="17" s="1"/>
  <c r="R53" i="17"/>
  <c r="V52" i="17"/>
  <c r="W52" i="17" s="1"/>
  <c r="AB52" i="17" s="1"/>
  <c r="R52" i="17"/>
  <c r="V51" i="17"/>
  <c r="W51" i="17" s="1"/>
  <c r="AB51" i="17" s="1"/>
  <c r="R51" i="17"/>
  <c r="V50" i="17"/>
  <c r="W50" i="17" s="1"/>
  <c r="AB50" i="17" s="1"/>
  <c r="R50" i="17"/>
  <c r="V49" i="17"/>
  <c r="W49" i="17" s="1"/>
  <c r="AB49" i="17" s="1"/>
  <c r="R49" i="17"/>
  <c r="V48" i="17"/>
  <c r="W48" i="17" s="1"/>
  <c r="AB48" i="17" s="1"/>
  <c r="R48" i="17"/>
  <c r="V47" i="17"/>
  <c r="W47" i="17" s="1"/>
  <c r="AB47" i="17" s="1"/>
  <c r="R47" i="17"/>
  <c r="V46" i="17"/>
  <c r="W46" i="17" s="1"/>
  <c r="AB46" i="17" s="1"/>
  <c r="R46" i="17"/>
  <c r="V45" i="17"/>
  <c r="W45" i="17" s="1"/>
  <c r="AB45" i="17" s="1"/>
  <c r="R45" i="17"/>
  <c r="V44" i="17"/>
  <c r="W44" i="17" s="1"/>
  <c r="AB44" i="17" s="1"/>
  <c r="R44" i="17"/>
  <c r="V43" i="17"/>
  <c r="W43" i="17" s="1"/>
  <c r="AB43" i="17" s="1"/>
  <c r="R43" i="17"/>
  <c r="V42" i="17"/>
  <c r="W42" i="17" s="1"/>
  <c r="AB42" i="17" s="1"/>
  <c r="R42" i="17"/>
  <c r="V41" i="17"/>
  <c r="W41" i="17" s="1"/>
  <c r="AB41" i="17" s="1"/>
  <c r="R41" i="17"/>
  <c r="V40" i="17"/>
  <c r="W40" i="17" s="1"/>
  <c r="AB40" i="17" s="1"/>
  <c r="R40" i="17"/>
  <c r="V39" i="17"/>
  <c r="W39" i="17" s="1"/>
  <c r="AB39" i="17" s="1"/>
  <c r="R39" i="17"/>
  <c r="V38" i="17"/>
  <c r="W38" i="17" s="1"/>
  <c r="AB38" i="17" s="1"/>
  <c r="R38" i="17"/>
  <c r="V37" i="17"/>
  <c r="W37" i="17" s="1"/>
  <c r="AB37" i="17" s="1"/>
  <c r="R37" i="17"/>
  <c r="V36" i="17"/>
  <c r="W36" i="17" s="1"/>
  <c r="AB36" i="17" s="1"/>
  <c r="R36" i="17"/>
  <c r="V35" i="17"/>
  <c r="W35" i="17" s="1"/>
  <c r="AB35" i="17" s="1"/>
  <c r="R35" i="17"/>
  <c r="V33" i="17"/>
  <c r="W33" i="17" s="1"/>
  <c r="AB33" i="17" s="1"/>
  <c r="R33" i="17"/>
  <c r="V32" i="17"/>
  <c r="W32" i="17" s="1"/>
  <c r="AB32" i="17" s="1"/>
  <c r="R32" i="17"/>
  <c r="W31" i="17"/>
  <c r="AB31" i="17" s="1"/>
  <c r="R31" i="17"/>
  <c r="V30" i="17"/>
  <c r="W30" i="17" s="1"/>
  <c r="AB30" i="17" s="1"/>
  <c r="R30" i="17"/>
  <c r="V29" i="17"/>
  <c r="W29" i="17" s="1"/>
  <c r="AB29" i="17" s="1"/>
  <c r="R29" i="17"/>
  <c r="V28" i="17"/>
  <c r="W28" i="17" s="1"/>
  <c r="AB28" i="17" s="1"/>
  <c r="R28" i="17"/>
  <c r="V27" i="17"/>
  <c r="W27" i="17" s="1"/>
  <c r="AB27" i="17" s="1"/>
  <c r="R27" i="17"/>
  <c r="V25" i="17"/>
  <c r="W25" i="17" s="1"/>
  <c r="AB25" i="17" s="1"/>
  <c r="R25" i="17"/>
  <c r="V24" i="17"/>
  <c r="W24" i="17" s="1"/>
  <c r="AB24" i="17" s="1"/>
  <c r="R24" i="17"/>
  <c r="V23" i="17"/>
  <c r="W23" i="17" s="1"/>
  <c r="AB23" i="17" s="1"/>
  <c r="R23" i="17"/>
  <c r="V22" i="17"/>
  <c r="W22" i="17" s="1"/>
  <c r="AB22" i="17" s="1"/>
  <c r="R22" i="17"/>
  <c r="V21" i="17"/>
  <c r="W21" i="17" s="1"/>
  <c r="AB21" i="17" s="1"/>
  <c r="R21" i="17"/>
  <c r="V19" i="17"/>
  <c r="W19" i="17" s="1"/>
  <c r="AB19" i="17" s="1"/>
  <c r="R19" i="17"/>
  <c r="V18" i="17"/>
  <c r="W18" i="17" s="1"/>
  <c r="AB18" i="17" s="1"/>
  <c r="R18" i="17"/>
  <c r="R17" i="17"/>
  <c r="V16" i="17"/>
  <c r="W16" i="17" s="1"/>
  <c r="AB16" i="17" s="1"/>
  <c r="R16" i="17"/>
  <c r="R15" i="17"/>
  <c r="V14" i="17"/>
  <c r="W14" i="17" s="1"/>
  <c r="AB14" i="17" s="1"/>
  <c r="V10" i="17"/>
  <c r="W10" i="17" s="1"/>
  <c r="AB10" i="17" s="1"/>
  <c r="R10" i="17"/>
  <c r="R11" i="17"/>
  <c r="S23" i="17" l="1"/>
  <c r="S42" i="17"/>
  <c r="S28" i="17"/>
  <c r="S45" i="17"/>
  <c r="S33" i="17"/>
  <c r="S59" i="17"/>
  <c r="S64" i="17"/>
  <c r="U68" i="17"/>
  <c r="Y68" i="17"/>
  <c r="S27" i="17"/>
  <c r="S49" i="17"/>
  <c r="S43" i="17"/>
  <c r="Q68" i="17"/>
  <c r="S36" i="17"/>
  <c r="Q34" i="14"/>
  <c r="U34" i="14" s="1"/>
  <c r="R34" i="14"/>
  <c r="T34" i="14"/>
  <c r="W34" i="14"/>
  <c r="S38" i="17" l="1"/>
  <c r="S30" i="17"/>
  <c r="S32" i="17"/>
  <c r="S15" i="17"/>
  <c r="S46" i="17"/>
  <c r="S58" i="17"/>
  <c r="S48" i="17"/>
  <c r="S10" i="17"/>
  <c r="S25" i="17"/>
  <c r="S56" i="17"/>
  <c r="S17" i="17"/>
  <c r="S39" i="17"/>
  <c r="S53" i="17"/>
  <c r="S57" i="17"/>
  <c r="S51" i="17"/>
  <c r="S21" i="17"/>
  <c r="S54" i="17"/>
  <c r="S41" i="17"/>
  <c r="S29" i="17"/>
  <c r="S52" i="17"/>
  <c r="S19" i="17"/>
  <c r="S65" i="17"/>
  <c r="S37" i="17"/>
  <c r="S50" i="17"/>
  <c r="S24" i="17"/>
  <c r="S44" i="17"/>
  <c r="S66" i="17"/>
  <c r="S22" i="17"/>
  <c r="S18" i="17"/>
  <c r="S31" i="17"/>
  <c r="S55" i="17"/>
  <c r="S47" i="17"/>
  <c r="S62" i="17"/>
  <c r="W68" i="17"/>
  <c r="AB68" i="17" s="1"/>
  <c r="S35" i="17"/>
  <c r="S16" i="17"/>
  <c r="S60" i="17"/>
  <c r="S11" i="17"/>
  <c r="S40" i="17"/>
  <c r="S14" i="17"/>
  <c r="S67" i="17"/>
  <c r="S34" i="14"/>
  <c r="X34" i="14"/>
  <c r="Q31" i="14"/>
  <c r="U31" i="14" s="1"/>
  <c r="R31" i="14"/>
  <c r="T31" i="14"/>
  <c r="W31" i="14"/>
  <c r="Q32" i="14"/>
  <c r="R32" i="14"/>
  <c r="T32" i="14"/>
  <c r="W32" i="14"/>
  <c r="Q33" i="14"/>
  <c r="U33" i="14" s="1"/>
  <c r="R33" i="14"/>
  <c r="T33" i="14"/>
  <c r="W33" i="14"/>
  <c r="Q35" i="14"/>
  <c r="U35" i="14" s="1"/>
  <c r="R35" i="14"/>
  <c r="T35" i="14"/>
  <c r="W35" i="14"/>
  <c r="Q30" i="14"/>
  <c r="U30" i="14" s="1"/>
  <c r="R30" i="14"/>
  <c r="T30" i="14"/>
  <c r="W30" i="14"/>
  <c r="W67" i="14"/>
  <c r="W68" i="14"/>
  <c r="W66" i="14"/>
  <c r="Q18" i="14"/>
  <c r="U18" i="14" s="1"/>
  <c r="R18" i="14"/>
  <c r="T18" i="14"/>
  <c r="W18" i="14"/>
  <c r="Q19" i="14"/>
  <c r="U19" i="14" s="1"/>
  <c r="S19" i="14" s="1"/>
  <c r="R19" i="14"/>
  <c r="T19" i="14"/>
  <c r="W19" i="14"/>
  <c r="Q28" i="14"/>
  <c r="U28" i="14" s="1"/>
  <c r="Q29" i="14"/>
  <c r="U29" i="14" s="1"/>
  <c r="Q36" i="14"/>
  <c r="U36" i="14" s="1"/>
  <c r="Q37" i="14"/>
  <c r="U37" i="14" s="1"/>
  <c r="Q38" i="14"/>
  <c r="U38" i="14" s="1"/>
  <c r="Q39" i="14"/>
  <c r="U39" i="14" s="1"/>
  <c r="Q40" i="14"/>
  <c r="U40" i="14" s="1"/>
  <c r="Q41" i="14"/>
  <c r="U41" i="14" s="1"/>
  <c r="Q42" i="14"/>
  <c r="U42" i="14" s="1"/>
  <c r="Q43" i="14"/>
  <c r="U43" i="14" s="1"/>
  <c r="Q44" i="14"/>
  <c r="U44" i="14" s="1"/>
  <c r="Q45" i="14"/>
  <c r="U45" i="14" s="1"/>
  <c r="Q46" i="14"/>
  <c r="U46" i="14" s="1"/>
  <c r="Q47" i="14"/>
  <c r="U47" i="14" s="1"/>
  <c r="Q48" i="14"/>
  <c r="U48" i="14" s="1"/>
  <c r="Q49" i="14"/>
  <c r="U49" i="14" s="1"/>
  <c r="Q50" i="14"/>
  <c r="U50" i="14" s="1"/>
  <c r="Q51" i="14"/>
  <c r="U51" i="14" s="1"/>
  <c r="Q52" i="14"/>
  <c r="U52" i="14" s="1"/>
  <c r="Q53" i="14"/>
  <c r="U53" i="14" s="1"/>
  <c r="Q54" i="14"/>
  <c r="U54" i="14" s="1"/>
  <c r="Q55" i="14"/>
  <c r="U55" i="14" s="1"/>
  <c r="Q56" i="14"/>
  <c r="U56" i="14" s="1"/>
  <c r="Q57" i="14"/>
  <c r="U57" i="14" s="1"/>
  <c r="Q58" i="14"/>
  <c r="U58" i="14" s="1"/>
  <c r="Q59" i="14"/>
  <c r="U59" i="14" s="1"/>
  <c r="Q60" i="14"/>
  <c r="U60" i="14" s="1"/>
  <c r="Q61" i="14"/>
  <c r="U61" i="14" s="1"/>
  <c r="Q62" i="14"/>
  <c r="U62" i="14" s="1"/>
  <c r="Q63" i="14"/>
  <c r="U63" i="14" s="1"/>
  <c r="Q64" i="14"/>
  <c r="U64" i="14" s="1"/>
  <c r="Q65" i="14"/>
  <c r="U65" i="14" s="1"/>
  <c r="Q66" i="14"/>
  <c r="U66" i="14" s="1"/>
  <c r="Q67" i="14"/>
  <c r="U67" i="14" s="1"/>
  <c r="Q68" i="14"/>
  <c r="U68" i="14" s="1"/>
  <c r="Q69" i="14"/>
  <c r="U69" i="14" s="1"/>
  <c r="Q27" i="14"/>
  <c r="U27" i="14" s="1"/>
  <c r="Q26" i="14"/>
  <c r="U26" i="14" s="1"/>
  <c r="S33" i="14" l="1"/>
  <c r="X33" i="14"/>
  <c r="U32" i="14"/>
  <c r="S32" i="14" s="1"/>
  <c r="S31" i="14"/>
  <c r="X35" i="14"/>
  <c r="S35" i="14"/>
  <c r="X31" i="14"/>
  <c r="S30" i="14"/>
  <c r="X30" i="14"/>
  <c r="X19" i="14"/>
  <c r="S18" i="14"/>
  <c r="X18" i="14"/>
  <c r="W37" i="14"/>
  <c r="Q14" i="14"/>
  <c r="Q13" i="14"/>
  <c r="Q12" i="14"/>
  <c r="Q11" i="14"/>
  <c r="X32" i="14" l="1"/>
  <c r="X37" i="14"/>
  <c r="Q16" i="14" l="1"/>
  <c r="R16" i="14"/>
  <c r="W16" i="14"/>
  <c r="Q17" i="14"/>
  <c r="R17" i="14"/>
  <c r="T17" i="14"/>
  <c r="W17" i="14"/>
  <c r="Q20" i="14"/>
  <c r="R20" i="14"/>
  <c r="T20" i="14"/>
  <c r="W20" i="14"/>
  <c r="W15" i="14"/>
  <c r="T15" i="14"/>
  <c r="R15" i="14"/>
  <c r="Q15" i="14"/>
  <c r="R11" i="14"/>
  <c r="T11" i="14"/>
  <c r="R12" i="14"/>
  <c r="T12" i="14"/>
  <c r="X12" i="14" s="1"/>
  <c r="R13" i="14"/>
  <c r="T13" i="14"/>
  <c r="U14" i="14"/>
  <c r="X14" i="14" s="1"/>
  <c r="R14" i="14"/>
  <c r="N70" i="14"/>
  <c r="U20" i="14" l="1"/>
  <c r="S20" i="14" s="1"/>
  <c r="U17" i="14"/>
  <c r="S17" i="14" s="1"/>
  <c r="U16" i="14"/>
  <c r="S16" i="14" s="1"/>
  <c r="U13" i="14"/>
  <c r="X13" i="14" s="1"/>
  <c r="U11" i="14"/>
  <c r="U15" i="14"/>
  <c r="X15" i="14" s="1"/>
  <c r="S12" i="14"/>
  <c r="S14" i="14"/>
  <c r="X17" i="14" l="1"/>
  <c r="X20" i="14"/>
  <c r="X16" i="14"/>
  <c r="S11" i="14"/>
  <c r="X11" i="14"/>
  <c r="S13" i="14"/>
  <c r="S15" i="14"/>
  <c r="W21" i="14"/>
  <c r="Q23" i="14"/>
  <c r="Q24" i="14"/>
  <c r="U24" i="14" s="1"/>
  <c r="Q25" i="14"/>
  <c r="W23" i="14"/>
  <c r="Q22" i="14"/>
  <c r="X63" i="14" l="1"/>
  <c r="X58" i="14"/>
  <c r="U23" i="14"/>
  <c r="X23" i="14"/>
  <c r="X59" i="14"/>
  <c r="X64" i="14"/>
  <c r="U25" i="14"/>
  <c r="X62" i="14"/>
  <c r="X65" i="14"/>
  <c r="U22" i="14"/>
  <c r="X55" i="14"/>
  <c r="W41" i="14"/>
  <c r="X41" i="14" s="1"/>
  <c r="W40" i="14"/>
  <c r="X40" i="14" s="1"/>
  <c r="W39" i="14"/>
  <c r="X39" i="14" s="1"/>
  <c r="W36" i="14"/>
  <c r="X36" i="14" s="1"/>
  <c r="W24" i="14"/>
  <c r="W22" i="14"/>
  <c r="X22" i="14" l="1"/>
  <c r="R59" i="14" l="1"/>
  <c r="S59" i="14" s="1"/>
  <c r="W52" i="14"/>
  <c r="X52" i="14" s="1"/>
  <c r="W53" i="14"/>
  <c r="X53" i="14" s="1"/>
  <c r="W54" i="14"/>
  <c r="X54" i="14" s="1"/>
  <c r="W51" i="14"/>
  <c r="X51" i="14" s="1"/>
  <c r="R25" i="14"/>
  <c r="S25" i="14" s="1"/>
  <c r="T25" i="14"/>
  <c r="W25" i="14"/>
  <c r="X25" i="14" s="1"/>
  <c r="Q21" i="14"/>
  <c r="U21" i="14" l="1"/>
  <c r="X21" i="14" s="1"/>
  <c r="AD57" i="14"/>
  <c r="AD56" i="14"/>
  <c r="AA56" i="14" l="1"/>
  <c r="AA57" i="14"/>
  <c r="AB57" i="14" s="1"/>
  <c r="AB56" i="14" l="1"/>
  <c r="P38" i="12" l="1"/>
  <c r="Q38" i="12"/>
  <c r="S38" i="12"/>
  <c r="V38" i="12"/>
  <c r="T38" i="12" l="1"/>
  <c r="R38" i="12" s="1"/>
  <c r="W38" i="12" l="1"/>
  <c r="X38" i="12" s="1"/>
  <c r="I44" i="11" l="1"/>
  <c r="U57" i="16"/>
  <c r="T57" i="16"/>
  <c r="J55" i="16"/>
  <c r="S54" i="16"/>
  <c r="F54" i="16"/>
  <c r="O53" i="16"/>
  <c r="I53" i="16"/>
  <c r="M53" i="16" s="1"/>
  <c r="I52" i="16"/>
  <c r="M52" i="16" s="1"/>
  <c r="O51" i="16"/>
  <c r="I51" i="16"/>
  <c r="M51" i="16" s="1"/>
  <c r="O50" i="16"/>
  <c r="I50" i="16"/>
  <c r="K50" i="16" s="1"/>
  <c r="O49" i="16"/>
  <c r="I49" i="16"/>
  <c r="M49" i="16" s="1"/>
  <c r="O48" i="16"/>
  <c r="I48" i="16"/>
  <c r="M48" i="16" s="1"/>
  <c r="O47" i="16"/>
  <c r="I47" i="16"/>
  <c r="M47" i="16" s="1"/>
  <c r="O46" i="16"/>
  <c r="I46" i="16"/>
  <c r="K46" i="16" s="1"/>
  <c r="O45" i="16"/>
  <c r="I45" i="16"/>
  <c r="M45" i="16" s="1"/>
  <c r="O44" i="16"/>
  <c r="I44" i="16"/>
  <c r="M44" i="16" s="1"/>
  <c r="S42" i="16"/>
  <c r="F42" i="16"/>
  <c r="O41" i="16"/>
  <c r="I41" i="16"/>
  <c r="Q40" i="16"/>
  <c r="O40" i="16"/>
  <c r="K40" i="16"/>
  <c r="I39" i="16"/>
  <c r="M39" i="16" s="1"/>
  <c r="K39" i="16" s="1"/>
  <c r="Q38" i="16"/>
  <c r="O38" i="16"/>
  <c r="K38" i="16"/>
  <c r="O37" i="16"/>
  <c r="I37" i="16"/>
  <c r="M37" i="16" s="1"/>
  <c r="K37" i="16" s="1"/>
  <c r="O36" i="16"/>
  <c r="I36" i="16"/>
  <c r="O35" i="16"/>
  <c r="I35" i="16"/>
  <c r="M35" i="16" s="1"/>
  <c r="K35" i="16" s="1"/>
  <c r="O34" i="16"/>
  <c r="I34" i="16"/>
  <c r="M34" i="16" s="1"/>
  <c r="O33" i="16"/>
  <c r="I33" i="16"/>
  <c r="M33" i="16" s="1"/>
  <c r="K33" i="16" s="1"/>
  <c r="O32" i="16"/>
  <c r="I32" i="16"/>
  <c r="M32" i="16" s="1"/>
  <c r="O31" i="16"/>
  <c r="I31" i="16"/>
  <c r="O30" i="16"/>
  <c r="I30" i="16"/>
  <c r="O29" i="16"/>
  <c r="I29" i="16"/>
  <c r="M29" i="16" s="1"/>
  <c r="K29" i="16" s="1"/>
  <c r="O28" i="16"/>
  <c r="I28" i="16"/>
  <c r="M28" i="16" s="1"/>
  <c r="K28" i="16" s="1"/>
  <c r="O27" i="16"/>
  <c r="I27" i="16"/>
  <c r="M27" i="16" s="1"/>
  <c r="O26" i="16"/>
  <c r="I26" i="16"/>
  <c r="M26" i="16" s="1"/>
  <c r="K26" i="16" s="1"/>
  <c r="O25" i="16"/>
  <c r="I25" i="16"/>
  <c r="S23" i="16"/>
  <c r="F23" i="16"/>
  <c r="O22" i="16"/>
  <c r="I22" i="16"/>
  <c r="O21" i="16"/>
  <c r="I21" i="16"/>
  <c r="O20" i="16"/>
  <c r="I20" i="16"/>
  <c r="O19" i="16"/>
  <c r="I19" i="16"/>
  <c r="M19" i="16" s="1"/>
  <c r="K19" i="16" s="1"/>
  <c r="O18" i="16"/>
  <c r="I18" i="16"/>
  <c r="O17" i="16"/>
  <c r="I17" i="16"/>
  <c r="M17" i="16" s="1"/>
  <c r="K17" i="16" s="1"/>
  <c r="O54" i="16" l="1"/>
  <c r="O23" i="16"/>
  <c r="K44" i="16"/>
  <c r="K52" i="16"/>
  <c r="M44" i="11"/>
  <c r="K48" i="16"/>
  <c r="O42" i="16"/>
  <c r="F55" i="16"/>
  <c r="T61" i="16" s="1"/>
  <c r="K21" i="16"/>
  <c r="M21" i="16"/>
  <c r="M31" i="16"/>
  <c r="K31" i="16" s="1"/>
  <c r="P33" i="16"/>
  <c r="Q33" i="16" s="1"/>
  <c r="P39" i="16"/>
  <c r="Q39" i="16" s="1"/>
  <c r="M41" i="16"/>
  <c r="K41" i="16" s="1"/>
  <c r="P44" i="16"/>
  <c r="M46" i="16"/>
  <c r="P46" i="16" s="1"/>
  <c r="Q46" i="16" s="1"/>
  <c r="P48" i="16"/>
  <c r="Q48" i="16" s="1"/>
  <c r="M50" i="16"/>
  <c r="M54" i="16" s="1"/>
  <c r="P52" i="16"/>
  <c r="Q52" i="16" s="1"/>
  <c r="P26" i="16"/>
  <c r="Q26" i="16" s="1"/>
  <c r="I23" i="16"/>
  <c r="P17" i="16"/>
  <c r="Q17" i="16" s="1"/>
  <c r="O55" i="16"/>
  <c r="P29" i="16"/>
  <c r="Q29" i="16" s="1"/>
  <c r="P37" i="16"/>
  <c r="Q37" i="16" s="1"/>
  <c r="T64" i="16"/>
  <c r="Q44" i="16"/>
  <c r="P19" i="16"/>
  <c r="Q19" i="16" s="1"/>
  <c r="P28" i="16"/>
  <c r="Q28" i="16" s="1"/>
  <c r="P35" i="16"/>
  <c r="Q35" i="16" s="1"/>
  <c r="K20" i="16"/>
  <c r="K22" i="16"/>
  <c r="K27" i="16"/>
  <c r="P27" i="16" s="1"/>
  <c r="Q27" i="16" s="1"/>
  <c r="K32" i="16"/>
  <c r="P32" i="16" s="1"/>
  <c r="Q32" i="16" s="1"/>
  <c r="K34" i="16"/>
  <c r="P34" i="16" s="1"/>
  <c r="Q34" i="16" s="1"/>
  <c r="K53" i="16"/>
  <c r="P53" i="16" s="1"/>
  <c r="Q53" i="16" s="1"/>
  <c r="M18" i="16"/>
  <c r="K18" i="16" s="1"/>
  <c r="M20" i="16"/>
  <c r="P20" i="16" s="1"/>
  <c r="Q20" i="16" s="1"/>
  <c r="M22" i="16"/>
  <c r="P22" i="16" s="1"/>
  <c r="Q22" i="16" s="1"/>
  <c r="M25" i="16"/>
  <c r="M30" i="16"/>
  <c r="K30" i="16" s="1"/>
  <c r="M36" i="16"/>
  <c r="I42" i="16"/>
  <c r="K45" i="16"/>
  <c r="P45" i="16" s="1"/>
  <c r="Q45" i="16" s="1"/>
  <c r="K47" i="16"/>
  <c r="K49" i="16"/>
  <c r="P49" i="16" s="1"/>
  <c r="Q49" i="16" s="1"/>
  <c r="K51" i="16"/>
  <c r="P51" i="16" s="1"/>
  <c r="Q51" i="16" s="1"/>
  <c r="K54" i="16" l="1"/>
  <c r="P21" i="16"/>
  <c r="Q21" i="16" s="1"/>
  <c r="M42" i="16"/>
  <c r="P50" i="16"/>
  <c r="Q50" i="16" s="1"/>
  <c r="P31" i="16"/>
  <c r="Q31" i="16" s="1"/>
  <c r="P30" i="16"/>
  <c r="Q30" i="16" s="1"/>
  <c r="P41" i="16"/>
  <c r="Q41" i="16" s="1"/>
  <c r="M23" i="16"/>
  <c r="P18" i="16"/>
  <c r="K23" i="16"/>
  <c r="M55" i="16"/>
  <c r="K36" i="16"/>
  <c r="P36" i="16" s="1"/>
  <c r="Q36" i="16" s="1"/>
  <c r="P47" i="16"/>
  <c r="Q47" i="16" s="1"/>
  <c r="Q54" i="16" s="1"/>
  <c r="K25" i="16"/>
  <c r="Q18" i="16" l="1"/>
  <c r="Q23" i="16" s="1"/>
  <c r="P23" i="16"/>
  <c r="K42" i="16"/>
  <c r="K55" i="16" s="1"/>
  <c r="P54" i="16"/>
  <c r="P25" i="16"/>
  <c r="U23" i="16" l="1"/>
  <c r="T23" i="16"/>
  <c r="U54" i="16"/>
  <c r="T54" i="16"/>
  <c r="P42" i="16"/>
  <c r="Q25" i="16"/>
  <c r="Q42" i="16" l="1"/>
  <c r="Q55" i="16" s="1"/>
  <c r="U42" i="16"/>
  <c r="T42" i="16"/>
  <c r="P55" i="16"/>
  <c r="U61" i="16" s="1"/>
  <c r="U64" i="16" s="1"/>
  <c r="R38" i="14" l="1"/>
  <c r="T38" i="14"/>
  <c r="W38" i="14"/>
  <c r="R29" i="14"/>
  <c r="T29" i="14"/>
  <c r="W29" i="14"/>
  <c r="S29" i="14" l="1"/>
  <c r="S38" i="14" l="1"/>
  <c r="X38" i="14"/>
  <c r="X29" i="14"/>
  <c r="R55" i="14"/>
  <c r="T55" i="14"/>
  <c r="R27" i="14"/>
  <c r="T27" i="14"/>
  <c r="W27" i="14"/>
  <c r="R45" i="14"/>
  <c r="T45" i="14"/>
  <c r="W45" i="14"/>
  <c r="X45" i="14" s="1"/>
  <c r="S55" i="14" l="1"/>
  <c r="S27" i="14"/>
  <c r="S45" i="14"/>
  <c r="X27" i="14" l="1"/>
  <c r="R22" i="14" l="1"/>
  <c r="T22" i="14"/>
  <c r="S22" i="14" l="1"/>
  <c r="T69" i="14"/>
  <c r="R69" i="14"/>
  <c r="B69" i="14"/>
  <c r="T68" i="14"/>
  <c r="R68" i="14"/>
  <c r="T67" i="14"/>
  <c r="R67" i="14"/>
  <c r="B67" i="14"/>
  <c r="T66" i="14"/>
  <c r="R66" i="14"/>
  <c r="T65" i="14"/>
  <c r="R65" i="14"/>
  <c r="T64" i="14"/>
  <c r="R64" i="14"/>
  <c r="R63" i="14"/>
  <c r="T62" i="14"/>
  <c r="R62" i="14"/>
  <c r="W61" i="14"/>
  <c r="T61" i="14"/>
  <c r="R61" i="14"/>
  <c r="W60" i="14"/>
  <c r="T60" i="14"/>
  <c r="R60" i="14"/>
  <c r="T58" i="14"/>
  <c r="R58" i="14"/>
  <c r="W57" i="14"/>
  <c r="T57" i="14"/>
  <c r="R57" i="14"/>
  <c r="W56" i="14"/>
  <c r="T56" i="14"/>
  <c r="R56" i="14"/>
  <c r="T54" i="14"/>
  <c r="R54" i="14"/>
  <c r="T53" i="14"/>
  <c r="R53" i="14"/>
  <c r="T52" i="14"/>
  <c r="R52" i="14"/>
  <c r="T51" i="14"/>
  <c r="R51" i="14"/>
  <c r="W50" i="14"/>
  <c r="X50" i="14" s="1"/>
  <c r="T50" i="14"/>
  <c r="R50" i="14"/>
  <c r="W49" i="14"/>
  <c r="X49" i="14" s="1"/>
  <c r="T49" i="14"/>
  <c r="R49" i="14"/>
  <c r="W48" i="14"/>
  <c r="X48" i="14" s="1"/>
  <c r="T48" i="14"/>
  <c r="R48" i="14"/>
  <c r="W47" i="14"/>
  <c r="X47" i="14" s="1"/>
  <c r="T47" i="14"/>
  <c r="R47" i="14"/>
  <c r="W46" i="14"/>
  <c r="X46" i="14" s="1"/>
  <c r="T46" i="14"/>
  <c r="R46" i="14"/>
  <c r="W44" i="14"/>
  <c r="X44" i="14" s="1"/>
  <c r="T44" i="14"/>
  <c r="R44" i="14"/>
  <c r="W43" i="14"/>
  <c r="T43" i="14"/>
  <c r="R43" i="14"/>
  <c r="W42" i="14"/>
  <c r="T42" i="14"/>
  <c r="R42" i="14"/>
  <c r="T41" i="14"/>
  <c r="R41" i="14"/>
  <c r="T40" i="14"/>
  <c r="R40" i="14"/>
  <c r="T39" i="14"/>
  <c r="R39" i="14"/>
  <c r="T37" i="14"/>
  <c r="R37" i="14"/>
  <c r="T36" i="14"/>
  <c r="R36" i="14"/>
  <c r="W28" i="14"/>
  <c r="T28" i="14"/>
  <c r="R28" i="14"/>
  <c r="W26" i="14"/>
  <c r="T26" i="14"/>
  <c r="R26" i="14"/>
  <c r="T24" i="14"/>
  <c r="R24" i="14"/>
  <c r="T23" i="14"/>
  <c r="R23" i="14"/>
  <c r="S23" i="14" s="1"/>
  <c r="T21" i="14"/>
  <c r="R21" i="14"/>
  <c r="T10" i="14"/>
  <c r="R10" i="14"/>
  <c r="Q10" i="14"/>
  <c r="W9" i="14"/>
  <c r="T9" i="14"/>
  <c r="R9" i="14"/>
  <c r="Q9" i="14"/>
  <c r="W70" i="14" l="1"/>
  <c r="Q70" i="14"/>
  <c r="X24" i="14"/>
  <c r="X43" i="14"/>
  <c r="U10" i="14"/>
  <c r="S10" i="14" s="1"/>
  <c r="S66" i="14"/>
  <c r="S67" i="14"/>
  <c r="S51" i="14"/>
  <c r="S60" i="14"/>
  <c r="S62" i="14"/>
  <c r="U9" i="14"/>
  <c r="S21" i="14"/>
  <c r="S26" i="14"/>
  <c r="S28" i="14"/>
  <c r="S37" i="14"/>
  <c r="S44" i="14"/>
  <c r="S46" i="14"/>
  <c r="S47" i="14"/>
  <c r="S49" i="14"/>
  <c r="S53" i="14"/>
  <c r="S56" i="14"/>
  <c r="S57" i="14"/>
  <c r="S58" i="14"/>
  <c r="S69" i="14"/>
  <c r="S39" i="14"/>
  <c r="S54" i="14"/>
  <c r="S41" i="14"/>
  <c r="S50" i="14"/>
  <c r="S40" i="14"/>
  <c r="X42" i="14"/>
  <c r="S52" i="14"/>
  <c r="S65" i="14"/>
  <c r="S68" i="14"/>
  <c r="S64" i="14"/>
  <c r="X60" i="14" l="1"/>
  <c r="X57" i="14"/>
  <c r="X56" i="14"/>
  <c r="S61" i="14"/>
  <c r="X61" i="14"/>
  <c r="S9" i="14"/>
  <c r="U70" i="14"/>
  <c r="X70" i="14" s="1"/>
  <c r="X28" i="14"/>
  <c r="X10" i="14"/>
  <c r="X67" i="14"/>
  <c r="X69" i="14"/>
  <c r="X26" i="14"/>
  <c r="X9" i="14"/>
  <c r="X66" i="14"/>
  <c r="X68" i="14"/>
  <c r="S42" i="14"/>
  <c r="S36" i="14"/>
  <c r="S48" i="14"/>
  <c r="S63" i="14"/>
  <c r="S24" i="14"/>
  <c r="S43" i="14"/>
  <c r="Q60" i="11" l="1"/>
  <c r="W18" i="12" l="1"/>
  <c r="W17" i="12"/>
  <c r="I30" i="11" l="1"/>
  <c r="M30" i="11" s="1"/>
  <c r="O30" i="11"/>
  <c r="P30" i="11" l="1"/>
  <c r="Q30" i="11" s="1"/>
  <c r="P64" i="12"/>
  <c r="P63" i="12"/>
  <c r="P62" i="12"/>
  <c r="P61" i="12"/>
  <c r="P56" i="11"/>
  <c r="M56" i="11"/>
  <c r="P55" i="11"/>
  <c r="M55" i="11"/>
  <c r="O32" i="11"/>
  <c r="I32" i="11"/>
  <c r="M32" i="11" l="1"/>
  <c r="K32" i="11" s="1"/>
  <c r="P12" i="12"/>
  <c r="Q12" i="12"/>
  <c r="S12" i="12"/>
  <c r="P32" i="11" l="1"/>
  <c r="Q32" i="11" s="1"/>
  <c r="T12" i="12"/>
  <c r="R12" i="12" s="1"/>
  <c r="W12" i="12" s="1"/>
  <c r="X12" i="12" s="1"/>
  <c r="P34" i="12"/>
  <c r="Q34" i="12"/>
  <c r="S34" i="12"/>
  <c r="V34" i="12"/>
  <c r="Q17" i="12"/>
  <c r="S17" i="12"/>
  <c r="Q18" i="12"/>
  <c r="S18" i="12"/>
  <c r="I42" i="11"/>
  <c r="O42" i="11"/>
  <c r="R17" i="12" l="1"/>
  <c r="R18" i="12"/>
  <c r="T34" i="12"/>
  <c r="R34" i="12" s="1"/>
  <c r="W34" i="12" s="1"/>
  <c r="M42" i="11"/>
  <c r="Q27" i="11"/>
  <c r="P42" i="11" l="1"/>
  <c r="Q42" i="11" s="1"/>
  <c r="Q26" i="11"/>
  <c r="O29" i="11"/>
  <c r="O31" i="11"/>
  <c r="Q64" i="12" l="1"/>
  <c r="S64" i="12"/>
  <c r="B66" i="12"/>
  <c r="T64" i="12" l="1"/>
  <c r="R64" i="12" s="1"/>
  <c r="W64" i="12" s="1"/>
  <c r="S61" i="12"/>
  <c r="Q61" i="12"/>
  <c r="T61" i="12" l="1"/>
  <c r="R61" i="12" s="1"/>
  <c r="W61" i="12" s="1"/>
  <c r="M70" i="12"/>
  <c r="S69" i="12"/>
  <c r="Q69" i="12"/>
  <c r="P69" i="12"/>
  <c r="B69" i="12"/>
  <c r="S68" i="12"/>
  <c r="Q68" i="12"/>
  <c r="P68" i="12"/>
  <c r="B68" i="12"/>
  <c r="S67" i="12"/>
  <c r="Q67" i="12"/>
  <c r="P67" i="12"/>
  <c r="B67" i="12"/>
  <c r="S66" i="12"/>
  <c r="Q66" i="12"/>
  <c r="P66" i="12"/>
  <c r="S65" i="12"/>
  <c r="Q65" i="12"/>
  <c r="P65" i="12"/>
  <c r="S63" i="12"/>
  <c r="T63" i="12" s="1"/>
  <c r="Q63" i="12"/>
  <c r="B63" i="12"/>
  <c r="S62" i="12"/>
  <c r="T62" i="12" s="1"/>
  <c r="Q62" i="12"/>
  <c r="V60" i="12"/>
  <c r="S60" i="12"/>
  <c r="Q60" i="12"/>
  <c r="P60" i="12"/>
  <c r="V59" i="12"/>
  <c r="S59" i="12"/>
  <c r="Q59" i="12"/>
  <c r="P59" i="12"/>
  <c r="S58" i="12"/>
  <c r="Q58" i="12"/>
  <c r="P58" i="12"/>
  <c r="S57" i="12"/>
  <c r="Q57" i="12"/>
  <c r="P57" i="12"/>
  <c r="V56" i="12"/>
  <c r="S56" i="12"/>
  <c r="Q56" i="12"/>
  <c r="P56" i="12"/>
  <c r="V55" i="12"/>
  <c r="S55" i="12"/>
  <c r="Q55" i="12"/>
  <c r="P55" i="12"/>
  <c r="M54" i="12"/>
  <c r="V53" i="12"/>
  <c r="S53" i="12"/>
  <c r="Q53" i="12"/>
  <c r="P53" i="12"/>
  <c r="V52" i="12"/>
  <c r="S52" i="12"/>
  <c r="Q52" i="12"/>
  <c r="P52" i="12"/>
  <c r="V51" i="12"/>
  <c r="S51" i="12"/>
  <c r="Q51" i="12"/>
  <c r="P51" i="12"/>
  <c r="V50" i="12"/>
  <c r="S50" i="12"/>
  <c r="Q50" i="12"/>
  <c r="P50" i="12"/>
  <c r="V49" i="12"/>
  <c r="S49" i="12"/>
  <c r="Q49" i="12"/>
  <c r="P49" i="12"/>
  <c r="V48" i="12"/>
  <c r="S48" i="12"/>
  <c r="Q48" i="12"/>
  <c r="P48" i="12"/>
  <c r="V47" i="12"/>
  <c r="S47" i="12"/>
  <c r="Q47" i="12"/>
  <c r="P47" i="12"/>
  <c r="V46" i="12"/>
  <c r="S46" i="12"/>
  <c r="Q46" i="12"/>
  <c r="P46" i="12"/>
  <c r="V45" i="12"/>
  <c r="S45" i="12"/>
  <c r="Q45" i="12"/>
  <c r="P45" i="12"/>
  <c r="V44" i="12"/>
  <c r="S44" i="12"/>
  <c r="Q44" i="12"/>
  <c r="P44" i="12"/>
  <c r="V43" i="12"/>
  <c r="S43" i="12"/>
  <c r="Q43" i="12"/>
  <c r="P43" i="12"/>
  <c r="V42" i="12"/>
  <c r="S42" i="12"/>
  <c r="Q42" i="12"/>
  <c r="P42" i="12"/>
  <c r="V41" i="12"/>
  <c r="S41" i="12"/>
  <c r="Q41" i="12"/>
  <c r="P41" i="12"/>
  <c r="V40" i="12"/>
  <c r="S40" i="12"/>
  <c r="Q40" i="12"/>
  <c r="P40" i="12"/>
  <c r="V39" i="12"/>
  <c r="S39" i="12"/>
  <c r="Q39" i="12"/>
  <c r="P39" i="12"/>
  <c r="V37" i="12"/>
  <c r="S37" i="12"/>
  <c r="Q37" i="12"/>
  <c r="P37" i="12"/>
  <c r="V36" i="12"/>
  <c r="S36" i="12"/>
  <c r="Q36" i="12"/>
  <c r="P36" i="12"/>
  <c r="V35" i="12"/>
  <c r="S35" i="12"/>
  <c r="Q35" i="12"/>
  <c r="P35" i="12"/>
  <c r="V33" i="12"/>
  <c r="S33" i="12"/>
  <c r="Q33" i="12"/>
  <c r="P33" i="12"/>
  <c r="V32" i="12"/>
  <c r="S32" i="12"/>
  <c r="Q32" i="12"/>
  <c r="P32" i="12"/>
  <c r="B32" i="12"/>
  <c r="V31" i="12"/>
  <c r="S31" i="12"/>
  <c r="Q31" i="12"/>
  <c r="P31" i="12"/>
  <c r="V30" i="12"/>
  <c r="S30" i="12"/>
  <c r="Q30" i="12"/>
  <c r="P30" i="12"/>
  <c r="B30" i="12"/>
  <c r="V29" i="12"/>
  <c r="S29" i="12"/>
  <c r="Q29" i="12"/>
  <c r="P29" i="12"/>
  <c r="B29" i="12"/>
  <c r="V28" i="12"/>
  <c r="S28" i="12"/>
  <c r="Q28" i="12"/>
  <c r="P28" i="12"/>
  <c r="V27" i="12"/>
  <c r="S27" i="12"/>
  <c r="Q27" i="12"/>
  <c r="P27" i="12"/>
  <c r="V26" i="12"/>
  <c r="S26" i="12"/>
  <c r="Q26" i="12"/>
  <c r="P26" i="12"/>
  <c r="V25" i="12"/>
  <c r="S25" i="12"/>
  <c r="Q25" i="12"/>
  <c r="P25" i="12"/>
  <c r="V24" i="12"/>
  <c r="S24" i="12"/>
  <c r="Q24" i="12"/>
  <c r="P24" i="12"/>
  <c r="V23" i="12"/>
  <c r="S23" i="12"/>
  <c r="Q23" i="12"/>
  <c r="P23" i="12"/>
  <c r="V22" i="12"/>
  <c r="S22" i="12"/>
  <c r="Q22" i="12"/>
  <c r="P22" i="12"/>
  <c r="V21" i="12"/>
  <c r="S21" i="12"/>
  <c r="Q21" i="12"/>
  <c r="P21" i="12"/>
  <c r="V20" i="12"/>
  <c r="S20" i="12"/>
  <c r="Q20" i="12"/>
  <c r="P20" i="12"/>
  <c r="B20" i="12"/>
  <c r="V19" i="12"/>
  <c r="S19" i="12"/>
  <c r="Q19" i="12"/>
  <c r="P19" i="12"/>
  <c r="V16" i="12"/>
  <c r="S16" i="12"/>
  <c r="Q16" i="12"/>
  <c r="P16" i="12"/>
  <c r="M15" i="12"/>
  <c r="S14" i="12"/>
  <c r="Q14" i="12"/>
  <c r="P14" i="12"/>
  <c r="S13" i="12"/>
  <c r="Q13" i="12"/>
  <c r="P13" i="12"/>
  <c r="B13" i="12"/>
  <c r="S11" i="12"/>
  <c r="Q11" i="12"/>
  <c r="P11" i="12"/>
  <c r="B11" i="12"/>
  <c r="S10" i="12"/>
  <c r="Q10" i="12"/>
  <c r="P10" i="12"/>
  <c r="B10" i="12"/>
  <c r="V9" i="12"/>
  <c r="V15" i="12" s="1"/>
  <c r="S9" i="12"/>
  <c r="Q9" i="12"/>
  <c r="P9" i="12"/>
  <c r="U63" i="11"/>
  <c r="T63" i="11"/>
  <c r="J61" i="11"/>
  <c r="S60" i="11"/>
  <c r="F60" i="11"/>
  <c r="O59" i="11"/>
  <c r="I59" i="11"/>
  <c r="K59" i="11" s="1"/>
  <c r="I58" i="11"/>
  <c r="M58" i="11" s="1"/>
  <c r="O57" i="11"/>
  <c r="I57" i="11"/>
  <c r="M57" i="11" s="1"/>
  <c r="O56" i="11"/>
  <c r="I56" i="11"/>
  <c r="O55" i="11"/>
  <c r="I55" i="11"/>
  <c r="O54" i="11"/>
  <c r="I54" i="11"/>
  <c r="M54" i="11" s="1"/>
  <c r="O53" i="11"/>
  <c r="I53" i="11"/>
  <c r="M53" i="11" s="1"/>
  <c r="O52" i="11"/>
  <c r="I52" i="11"/>
  <c r="M52" i="11" s="1"/>
  <c r="O51" i="11"/>
  <c r="I51" i="11"/>
  <c r="M51" i="11" s="1"/>
  <c r="O50" i="11"/>
  <c r="I50" i="11"/>
  <c r="S48" i="11"/>
  <c r="F48" i="11"/>
  <c r="O47" i="11"/>
  <c r="I47" i="11"/>
  <c r="M47" i="11" s="1"/>
  <c r="Q46" i="11"/>
  <c r="O46" i="11"/>
  <c r="K46" i="11"/>
  <c r="I45" i="11"/>
  <c r="O44" i="11"/>
  <c r="K44" i="11"/>
  <c r="P44" i="11" s="1"/>
  <c r="Q44" i="11" s="1"/>
  <c r="O43" i="11"/>
  <c r="I43" i="11"/>
  <c r="O41" i="11"/>
  <c r="I41" i="11"/>
  <c r="O40" i="11"/>
  <c r="I40" i="11"/>
  <c r="O39" i="11"/>
  <c r="I39" i="11"/>
  <c r="M39" i="11" s="1"/>
  <c r="O38" i="11"/>
  <c r="I38" i="11"/>
  <c r="O37" i="11"/>
  <c r="I37" i="11"/>
  <c r="O36" i="11"/>
  <c r="I36" i="11"/>
  <c r="I31" i="11"/>
  <c r="I29" i="11"/>
  <c r="O35" i="11"/>
  <c r="I35" i="11"/>
  <c r="O34" i="11"/>
  <c r="I34" i="11"/>
  <c r="O33" i="11"/>
  <c r="I33" i="11"/>
  <c r="M33" i="11" s="1"/>
  <c r="K33" i="11" s="1"/>
  <c r="O28" i="11"/>
  <c r="I28" i="11"/>
  <c r="O25" i="11"/>
  <c r="I25" i="11"/>
  <c r="S23" i="11"/>
  <c r="F23" i="11"/>
  <c r="O22" i="11"/>
  <c r="I22" i="11"/>
  <c r="O21" i="11"/>
  <c r="I21" i="11"/>
  <c r="K21" i="11" s="1"/>
  <c r="O20" i="11"/>
  <c r="I20" i="11"/>
  <c r="M20" i="11" s="1"/>
  <c r="O19" i="11"/>
  <c r="I19" i="11"/>
  <c r="O18" i="11"/>
  <c r="I18" i="11"/>
  <c r="O17" i="11"/>
  <c r="I17" i="11"/>
  <c r="T57" i="12" l="1"/>
  <c r="O48" i="11"/>
  <c r="K20" i="11"/>
  <c r="I48" i="11"/>
  <c r="M50" i="11"/>
  <c r="I60" i="11"/>
  <c r="K39" i="11"/>
  <c r="P39" i="11" s="1"/>
  <c r="Q39" i="11" s="1"/>
  <c r="F61" i="11"/>
  <c r="T67" i="11" s="1"/>
  <c r="T70" i="11" s="1"/>
  <c r="O23" i="11"/>
  <c r="T51" i="12"/>
  <c r="R51" i="12" s="1"/>
  <c r="M31" i="11"/>
  <c r="K31" i="11" s="1"/>
  <c r="P31" i="11" s="1"/>
  <c r="Q31" i="11" s="1"/>
  <c r="O60" i="11"/>
  <c r="M59" i="11"/>
  <c r="M60" i="11" s="1"/>
  <c r="M18" i="11"/>
  <c r="K18" i="11" s="1"/>
  <c r="P20" i="11"/>
  <c r="Q20" i="11" s="1"/>
  <c r="M37" i="11"/>
  <c r="K37" i="11" s="1"/>
  <c r="M41" i="11"/>
  <c r="M45" i="11"/>
  <c r="K45" i="11" s="1"/>
  <c r="P45" i="11" s="1"/>
  <c r="Q45" i="11" s="1"/>
  <c r="M35" i="11"/>
  <c r="P33" i="11"/>
  <c r="Q33" i="11" s="1"/>
  <c r="M25" i="11"/>
  <c r="T19" i="12"/>
  <c r="R19" i="12" s="1"/>
  <c r="W19" i="12" s="1"/>
  <c r="X19" i="12" s="1"/>
  <c r="T43" i="12"/>
  <c r="R43" i="12" s="1"/>
  <c r="W43" i="12" s="1"/>
  <c r="V70" i="12"/>
  <c r="T68" i="12"/>
  <c r="R68" i="12" s="1"/>
  <c r="T52" i="12"/>
  <c r="R52" i="12" s="1"/>
  <c r="W52" i="12" s="1"/>
  <c r="T22" i="12"/>
  <c r="T47" i="12"/>
  <c r="R47" i="12" s="1"/>
  <c r="W47" i="12" s="1"/>
  <c r="T60" i="12"/>
  <c r="T10" i="12"/>
  <c r="R10" i="12" s="1"/>
  <c r="W10" i="12" s="1"/>
  <c r="T25" i="12"/>
  <c r="R25" i="12" s="1"/>
  <c r="W25" i="12" s="1"/>
  <c r="T27" i="12"/>
  <c r="T37" i="12"/>
  <c r="T58" i="12"/>
  <c r="R58" i="12" s="1"/>
  <c r="T11" i="12"/>
  <c r="R11" i="12" s="1"/>
  <c r="W11" i="12" s="1"/>
  <c r="T20" i="12"/>
  <c r="R20" i="12" s="1"/>
  <c r="T41" i="12"/>
  <c r="T42" i="12"/>
  <c r="R42" i="12" s="1"/>
  <c r="T44" i="12"/>
  <c r="T48" i="12"/>
  <c r="R48" i="12" s="1"/>
  <c r="T55" i="12"/>
  <c r="R55" i="12" s="1"/>
  <c r="P70" i="12"/>
  <c r="T66" i="12"/>
  <c r="R66" i="12" s="1"/>
  <c r="T16" i="12"/>
  <c r="R16" i="12" s="1"/>
  <c r="T67" i="12"/>
  <c r="R67" i="12" s="1"/>
  <c r="X67" i="12" s="1"/>
  <c r="T21" i="12"/>
  <c r="R21" i="12" s="1"/>
  <c r="T23" i="12"/>
  <c r="R23" i="12" s="1"/>
  <c r="W23" i="12" s="1"/>
  <c r="V54" i="12"/>
  <c r="V71" i="12" s="1"/>
  <c r="T50" i="12"/>
  <c r="T53" i="12"/>
  <c r="R53" i="12" s="1"/>
  <c r="M71" i="12"/>
  <c r="P15" i="12"/>
  <c r="T13" i="12"/>
  <c r="P54" i="12"/>
  <c r="R57" i="12"/>
  <c r="W57" i="12" s="1"/>
  <c r="R60" i="12"/>
  <c r="W60" i="12" s="1"/>
  <c r="R62" i="12"/>
  <c r="W62" i="12" s="1"/>
  <c r="T14" i="12"/>
  <c r="R14" i="12" s="1"/>
  <c r="T24" i="12"/>
  <c r="T30" i="12"/>
  <c r="T46" i="12"/>
  <c r="Q70" i="12"/>
  <c r="Q71" i="12" s="1"/>
  <c r="T56" i="12"/>
  <c r="R44" i="12"/>
  <c r="W44" i="12" s="1"/>
  <c r="T9" i="12"/>
  <c r="T28" i="12"/>
  <c r="T29" i="12"/>
  <c r="T31" i="12"/>
  <c r="T32" i="12"/>
  <c r="T33" i="12"/>
  <c r="R33" i="12" s="1"/>
  <c r="W33" i="12" s="1"/>
  <c r="T45" i="12"/>
  <c r="T49" i="12"/>
  <c r="T59" i="12"/>
  <c r="R59" i="12" s="1"/>
  <c r="W59" i="12" s="1"/>
  <c r="R63" i="12"/>
  <c r="W63" i="12" s="1"/>
  <c r="T69" i="12"/>
  <c r="R69" i="12" s="1"/>
  <c r="W69" i="12" s="1"/>
  <c r="T26" i="12"/>
  <c r="R26" i="12" s="1"/>
  <c r="T35" i="12"/>
  <c r="T36" i="12"/>
  <c r="R36" i="12" s="1"/>
  <c r="T39" i="12"/>
  <c r="R39" i="12" s="1"/>
  <c r="T40" i="12"/>
  <c r="R40" i="12" s="1"/>
  <c r="X65" i="12"/>
  <c r="T65" i="12"/>
  <c r="R65" i="12" s="1"/>
  <c r="W65" i="12" s="1"/>
  <c r="K22" i="11"/>
  <c r="I23" i="11"/>
  <c r="M22" i="11"/>
  <c r="M17" i="11"/>
  <c r="M19" i="11"/>
  <c r="K19" i="11" s="1"/>
  <c r="P19" i="11" s="1"/>
  <c r="Q19" i="11" s="1"/>
  <c r="M21" i="11"/>
  <c r="P21" i="11" s="1"/>
  <c r="Q21" i="11" s="1"/>
  <c r="M28" i="11"/>
  <c r="K28" i="11" s="1"/>
  <c r="M34" i="11"/>
  <c r="K34" i="11" s="1"/>
  <c r="P34" i="11" s="1"/>
  <c r="Q34" i="11" s="1"/>
  <c r="M29" i="11"/>
  <c r="K29" i="11" s="1"/>
  <c r="M36" i="11"/>
  <c r="M38" i="11"/>
  <c r="K38" i="11" s="1"/>
  <c r="M40" i="11"/>
  <c r="K40" i="11" s="1"/>
  <c r="M43" i="11"/>
  <c r="K43" i="11" s="1"/>
  <c r="P43" i="11" s="1"/>
  <c r="Q43" i="11" s="1"/>
  <c r="K47" i="11"/>
  <c r="Q47" i="11" s="1"/>
  <c r="K50" i="11"/>
  <c r="K52" i="11"/>
  <c r="Q52" i="11" s="1"/>
  <c r="K54" i="11"/>
  <c r="P54" i="11" s="1"/>
  <c r="Q54" i="11" s="1"/>
  <c r="K56" i="11"/>
  <c r="Q56" i="11" s="1"/>
  <c r="K58" i="11"/>
  <c r="K51" i="11"/>
  <c r="P51" i="11" s="1"/>
  <c r="Q51" i="11" s="1"/>
  <c r="K53" i="11"/>
  <c r="P53" i="11" s="1"/>
  <c r="Q53" i="11" s="1"/>
  <c r="K55" i="11"/>
  <c r="Q55" i="11" s="1"/>
  <c r="K57" i="11"/>
  <c r="P57" i="11" s="1"/>
  <c r="Q57" i="11" s="1"/>
  <c r="K17" i="11"/>
  <c r="V32" i="6"/>
  <c r="W16" i="12" l="1"/>
  <c r="W21" i="12"/>
  <c r="P40" i="11"/>
  <c r="Q40" i="11" s="1"/>
  <c r="P37" i="11"/>
  <c r="R27" i="12"/>
  <c r="W27" i="12" s="1"/>
  <c r="X27" i="12" s="1"/>
  <c r="I61" i="11"/>
  <c r="O61" i="11"/>
  <c r="K25" i="11"/>
  <c r="M48" i="11"/>
  <c r="R22" i="12"/>
  <c r="W22" i="12" s="1"/>
  <c r="X22" i="12" s="1"/>
  <c r="P59" i="11"/>
  <c r="Q59" i="11" s="1"/>
  <c r="Q37" i="11"/>
  <c r="Q22" i="11"/>
  <c r="P18" i="11"/>
  <c r="Q18" i="11" s="1"/>
  <c r="K41" i="11"/>
  <c r="P41" i="11" s="1"/>
  <c r="Q41" i="11" s="1"/>
  <c r="K35" i="11"/>
  <c r="P35" i="11" s="1"/>
  <c r="Q35" i="11" s="1"/>
  <c r="Q25" i="11"/>
  <c r="R37" i="12"/>
  <c r="W37" i="12" s="1"/>
  <c r="X37" i="12" s="1"/>
  <c r="W20" i="12"/>
  <c r="X20" i="12" s="1"/>
  <c r="T70" i="12"/>
  <c r="R50" i="12"/>
  <c r="W40" i="12"/>
  <c r="X40" i="12" s="1"/>
  <c r="R41" i="12"/>
  <c r="W41" i="12" s="1"/>
  <c r="P71" i="12"/>
  <c r="W36" i="12"/>
  <c r="W26" i="12"/>
  <c r="X26" i="12" s="1"/>
  <c r="X23" i="12"/>
  <c r="T15" i="12"/>
  <c r="X33" i="12"/>
  <c r="X62" i="12"/>
  <c r="X57" i="12"/>
  <c r="X59" i="12"/>
  <c r="X66" i="12"/>
  <c r="X10" i="12"/>
  <c r="X11" i="12"/>
  <c r="X52" i="12"/>
  <c r="X43" i="12"/>
  <c r="R13" i="12"/>
  <c r="W13" i="12" s="1"/>
  <c r="X16" i="12"/>
  <c r="R35" i="12"/>
  <c r="W35" i="12" s="1"/>
  <c r="X69" i="12"/>
  <c r="R29" i="12"/>
  <c r="W29" i="12" s="1"/>
  <c r="R32" i="12"/>
  <c r="X58" i="12"/>
  <c r="R45" i="12"/>
  <c r="W45" i="12" s="1"/>
  <c r="X44" i="12"/>
  <c r="X60" i="12"/>
  <c r="W39" i="12"/>
  <c r="R56" i="12"/>
  <c r="W56" i="12" s="1"/>
  <c r="W55" i="12"/>
  <c r="R28" i="12"/>
  <c r="W28" i="12" s="1"/>
  <c r="X48" i="12"/>
  <c r="R46" i="12"/>
  <c r="R30" i="12"/>
  <c r="W30" i="12" s="1"/>
  <c r="X53" i="12"/>
  <c r="X51" i="12"/>
  <c r="X47" i="12"/>
  <c r="X25" i="12"/>
  <c r="R31" i="12"/>
  <c r="W31" i="12" s="1"/>
  <c r="X63" i="12"/>
  <c r="X68" i="12"/>
  <c r="R49" i="12"/>
  <c r="R24" i="12"/>
  <c r="W24" i="12" s="1"/>
  <c r="T54" i="12"/>
  <c r="X42" i="12"/>
  <c r="X21" i="12"/>
  <c r="R9" i="12"/>
  <c r="M23" i="11"/>
  <c r="K23" i="11"/>
  <c r="P17" i="11"/>
  <c r="P29" i="11"/>
  <c r="Q29" i="11" s="1"/>
  <c r="K36" i="11"/>
  <c r="P38" i="11"/>
  <c r="Q38" i="11" s="1"/>
  <c r="P28" i="11"/>
  <c r="K60" i="11"/>
  <c r="P50" i="11"/>
  <c r="Q28" i="11" l="1"/>
  <c r="K48" i="11"/>
  <c r="K61" i="11" s="1"/>
  <c r="R15" i="12"/>
  <c r="M61" i="11"/>
  <c r="T71" i="12"/>
  <c r="X50" i="12"/>
  <c r="X14" i="12"/>
  <c r="X41" i="12"/>
  <c r="X36" i="12"/>
  <c r="R54" i="12"/>
  <c r="X32" i="12"/>
  <c r="X13" i="12"/>
  <c r="X45" i="12"/>
  <c r="X49" i="12"/>
  <c r="X30" i="12"/>
  <c r="X24" i="12"/>
  <c r="X46" i="12"/>
  <c r="X28" i="12"/>
  <c r="X35" i="12"/>
  <c r="X31" i="12"/>
  <c r="R70" i="12"/>
  <c r="W54" i="12"/>
  <c r="X39" i="12"/>
  <c r="X29" i="12"/>
  <c r="W70" i="12"/>
  <c r="X55" i="12"/>
  <c r="W9" i="12"/>
  <c r="X56" i="12"/>
  <c r="Q17" i="11"/>
  <c r="Q23" i="11" s="1"/>
  <c r="Q61" i="11" s="1"/>
  <c r="P23" i="11"/>
  <c r="P36" i="11"/>
  <c r="Q36" i="11" s="1"/>
  <c r="Q50" i="11"/>
  <c r="J48" i="8"/>
  <c r="L48" i="8"/>
  <c r="I34" i="8"/>
  <c r="Q31" i="8"/>
  <c r="Q33" i="8"/>
  <c r="P47" i="6"/>
  <c r="R47" i="6" s="1"/>
  <c r="Q47" i="6"/>
  <c r="S47" i="6"/>
  <c r="T47" i="6"/>
  <c r="W47" i="6" s="1"/>
  <c r="S54" i="6"/>
  <c r="U54" i="6"/>
  <c r="P45" i="6"/>
  <c r="T45" i="6" s="1"/>
  <c r="P44" i="6"/>
  <c r="Q45" i="6"/>
  <c r="S45" i="6"/>
  <c r="Z45" i="6"/>
  <c r="AA45" i="6"/>
  <c r="P58" i="10"/>
  <c r="P57" i="10"/>
  <c r="Q58" i="10"/>
  <c r="S58" i="10"/>
  <c r="T58" i="10" l="1"/>
  <c r="P48" i="11"/>
  <c r="P61" i="11" s="1"/>
  <c r="R71" i="12"/>
  <c r="W15" i="12"/>
  <c r="W71" i="12" s="1"/>
  <c r="X9" i="12"/>
  <c r="U60" i="11"/>
  <c r="T60" i="11"/>
  <c r="U23" i="11"/>
  <c r="T23" i="11"/>
  <c r="W45" i="6"/>
  <c r="AB45" i="6" s="1"/>
  <c r="R45" i="6"/>
  <c r="R58" i="10"/>
  <c r="W58" i="10" s="1"/>
  <c r="U48" i="11" l="1"/>
  <c r="U67" i="11"/>
  <c r="U70" i="11" s="1"/>
  <c r="T48" i="11"/>
  <c r="P40" i="6"/>
  <c r="P46" i="6"/>
  <c r="I25" i="8" l="1"/>
  <c r="M25" i="8" s="1"/>
  <c r="M53" i="6" l="1"/>
  <c r="M37" i="6"/>
  <c r="T11" i="6"/>
  <c r="W11" i="6" s="1"/>
  <c r="T14" i="6"/>
  <c r="T15" i="6"/>
  <c r="T17" i="6"/>
  <c r="T20" i="6"/>
  <c r="T21" i="6"/>
  <c r="T22" i="6"/>
  <c r="T23" i="6"/>
  <c r="T24" i="6"/>
  <c r="T25" i="6"/>
  <c r="T26" i="6"/>
  <c r="T27" i="6"/>
  <c r="T28" i="6"/>
  <c r="T29" i="6"/>
  <c r="V97" i="10"/>
  <c r="S97" i="10"/>
  <c r="Q97" i="10"/>
  <c r="P97" i="10"/>
  <c r="V85" i="10"/>
  <c r="S85" i="10"/>
  <c r="Q85" i="10"/>
  <c r="P85" i="10"/>
  <c r="V84" i="10"/>
  <c r="S84" i="10"/>
  <c r="Q84" i="10"/>
  <c r="P84" i="10"/>
  <c r="T84" i="10" s="1"/>
  <c r="S83" i="10"/>
  <c r="Q83" i="10"/>
  <c r="P83" i="10"/>
  <c r="V82" i="10"/>
  <c r="S82" i="10"/>
  <c r="Q82" i="10"/>
  <c r="P82" i="10"/>
  <c r="V81" i="10"/>
  <c r="S81" i="10"/>
  <c r="Q81" i="10"/>
  <c r="P81" i="10"/>
  <c r="T81" i="10" s="1"/>
  <c r="V80" i="10"/>
  <c r="S80" i="10"/>
  <c r="Q80" i="10"/>
  <c r="P80" i="10"/>
  <c r="V79" i="10"/>
  <c r="S79" i="10"/>
  <c r="Q79" i="10"/>
  <c r="P79" i="10"/>
  <c r="V78" i="10"/>
  <c r="S78" i="10"/>
  <c r="Q78" i="10"/>
  <c r="P78" i="10"/>
  <c r="T78" i="10" s="1"/>
  <c r="AF65" i="10"/>
  <c r="AE65" i="10"/>
  <c r="U65" i="10"/>
  <c r="M65" i="10"/>
  <c r="AA64" i="10"/>
  <c r="S64" i="10"/>
  <c r="Q64" i="10"/>
  <c r="P64" i="10"/>
  <c r="B64" i="10"/>
  <c r="Z64" i="10" s="1"/>
  <c r="AA63" i="10"/>
  <c r="S63" i="10"/>
  <c r="Q63" i="10"/>
  <c r="P63" i="10"/>
  <c r="T63" i="10" s="1"/>
  <c r="R63" i="10" s="1"/>
  <c r="W63" i="10" s="1"/>
  <c r="B63" i="10"/>
  <c r="Z63" i="10" s="1"/>
  <c r="AA62" i="10"/>
  <c r="S62" i="10"/>
  <c r="Q62" i="10"/>
  <c r="P62" i="10"/>
  <c r="T62" i="10" s="1"/>
  <c r="B62" i="10"/>
  <c r="Z62" i="10" s="1"/>
  <c r="AA61" i="10"/>
  <c r="S61" i="10"/>
  <c r="Q61" i="10"/>
  <c r="P61" i="10"/>
  <c r="B61" i="10"/>
  <c r="Z61" i="10" s="1"/>
  <c r="AA60" i="10"/>
  <c r="Z60" i="10"/>
  <c r="S60" i="10"/>
  <c r="Q60" i="10"/>
  <c r="P60" i="10"/>
  <c r="X60" i="10" s="1"/>
  <c r="AA59" i="10"/>
  <c r="S59" i="10"/>
  <c r="Q59" i="10"/>
  <c r="P59" i="10"/>
  <c r="T59" i="10" s="1"/>
  <c r="B59" i="10"/>
  <c r="Z59" i="10" s="1"/>
  <c r="AA57" i="10"/>
  <c r="Z57" i="10"/>
  <c r="S57" i="10"/>
  <c r="Q57" i="10"/>
  <c r="AA56" i="10"/>
  <c r="Z56" i="10"/>
  <c r="V56" i="10"/>
  <c r="S56" i="10"/>
  <c r="Q56" i="10"/>
  <c r="P56" i="10"/>
  <c r="AA55" i="10"/>
  <c r="V55" i="10"/>
  <c r="S55" i="10"/>
  <c r="Q55" i="10"/>
  <c r="P55" i="10"/>
  <c r="B55" i="10"/>
  <c r="Z55" i="10" s="1"/>
  <c r="AA54" i="10"/>
  <c r="Z54" i="10"/>
  <c r="S54" i="10"/>
  <c r="Q54" i="10"/>
  <c r="P54" i="10"/>
  <c r="AA53" i="10"/>
  <c r="Z53" i="10"/>
  <c r="S53" i="10"/>
  <c r="Q53" i="10"/>
  <c r="P53" i="10"/>
  <c r="AA52" i="10"/>
  <c r="Z52" i="10"/>
  <c r="V52" i="10"/>
  <c r="S52" i="10"/>
  <c r="Q52" i="10"/>
  <c r="P52" i="10"/>
  <c r="T52" i="10" s="1"/>
  <c r="AA51" i="10"/>
  <c r="Z51" i="10"/>
  <c r="V51" i="10"/>
  <c r="T51" i="10"/>
  <c r="S51" i="10"/>
  <c r="Q51" i="10"/>
  <c r="P51" i="10"/>
  <c r="U50" i="10"/>
  <c r="M50" i="10"/>
  <c r="AE49" i="10"/>
  <c r="V49" i="10"/>
  <c r="S49" i="10"/>
  <c r="Q49" i="10"/>
  <c r="P49" i="10"/>
  <c r="B49" i="10"/>
  <c r="AD49" i="10" s="1"/>
  <c r="AA48" i="10"/>
  <c r="V48" i="10"/>
  <c r="S48" i="10"/>
  <c r="Q48" i="10"/>
  <c r="P48" i="10"/>
  <c r="T48" i="10" s="1"/>
  <c r="B48" i="10"/>
  <c r="Z48" i="10" s="1"/>
  <c r="AA47" i="10"/>
  <c r="Z47" i="10"/>
  <c r="V47" i="10"/>
  <c r="S47" i="10"/>
  <c r="Q47" i="10"/>
  <c r="P47" i="10"/>
  <c r="T47" i="10" s="1"/>
  <c r="AA46" i="10"/>
  <c r="Z46" i="10"/>
  <c r="V46" i="10"/>
  <c r="S46" i="10"/>
  <c r="Q46" i="10"/>
  <c r="P46" i="10"/>
  <c r="AA45" i="10"/>
  <c r="V45" i="10"/>
  <c r="S45" i="10"/>
  <c r="Q45" i="10"/>
  <c r="P45" i="10"/>
  <c r="B45" i="10"/>
  <c r="Z45" i="10" s="1"/>
  <c r="AA44" i="10"/>
  <c r="V44" i="10"/>
  <c r="S44" i="10"/>
  <c r="Q44" i="10"/>
  <c r="P44" i="10"/>
  <c r="B44" i="10"/>
  <c r="Z44" i="10" s="1"/>
  <c r="AE43" i="10"/>
  <c r="V43" i="10"/>
  <c r="S43" i="10"/>
  <c r="T43" i="10" s="1"/>
  <c r="Q43" i="10"/>
  <c r="P43" i="10"/>
  <c r="B43" i="10"/>
  <c r="AD43" i="10" s="1"/>
  <c r="AE42" i="10"/>
  <c r="V42" i="10"/>
  <c r="S42" i="10"/>
  <c r="Q42" i="10"/>
  <c r="P42" i="10"/>
  <c r="B42" i="10"/>
  <c r="AD42" i="10" s="1"/>
  <c r="AE41" i="10"/>
  <c r="V41" i="10"/>
  <c r="S41" i="10"/>
  <c r="Q41" i="10"/>
  <c r="P41" i="10"/>
  <c r="B41" i="10"/>
  <c r="AD41" i="10" s="1"/>
  <c r="AE40" i="10"/>
  <c r="AD40" i="10"/>
  <c r="V40" i="10"/>
  <c r="S40" i="10"/>
  <c r="T40" i="10" s="1"/>
  <c r="Q40" i="10"/>
  <c r="P40" i="10"/>
  <c r="AE39" i="10"/>
  <c r="AD39" i="10"/>
  <c r="V39" i="10"/>
  <c r="S39" i="10"/>
  <c r="Q39" i="10"/>
  <c r="P39" i="10"/>
  <c r="AE38" i="10"/>
  <c r="V38" i="10"/>
  <c r="S38" i="10"/>
  <c r="Q38" i="10"/>
  <c r="P38" i="10"/>
  <c r="B38" i="10"/>
  <c r="AD38" i="10" s="1"/>
  <c r="AE37" i="10"/>
  <c r="AD37" i="10"/>
  <c r="V37" i="10"/>
  <c r="S37" i="10"/>
  <c r="Q37" i="10"/>
  <c r="P37" i="10"/>
  <c r="T37" i="10" s="1"/>
  <c r="AE36" i="10"/>
  <c r="V36" i="10"/>
  <c r="S36" i="10"/>
  <c r="Q36" i="10"/>
  <c r="P36" i="10"/>
  <c r="B36" i="10"/>
  <c r="AD36" i="10" s="1"/>
  <c r="AE35" i="10"/>
  <c r="AD35" i="10"/>
  <c r="V35" i="10"/>
  <c r="S35" i="10"/>
  <c r="Q35" i="10"/>
  <c r="P35" i="10"/>
  <c r="T35" i="10" s="1"/>
  <c r="AE34" i="10"/>
  <c r="V34" i="10"/>
  <c r="S34" i="10"/>
  <c r="Q34" i="10"/>
  <c r="P34" i="10"/>
  <c r="B34" i="10"/>
  <c r="AD34" i="10" s="1"/>
  <c r="AE33" i="10"/>
  <c r="AD33" i="10"/>
  <c r="AA33" i="10"/>
  <c r="V33" i="10"/>
  <c r="S33" i="10"/>
  <c r="Q33" i="10"/>
  <c r="P33" i="10"/>
  <c r="AE32" i="10"/>
  <c r="AD32" i="10"/>
  <c r="AA32" i="10"/>
  <c r="V32" i="10"/>
  <c r="S32" i="10"/>
  <c r="Q32" i="10"/>
  <c r="P32" i="10"/>
  <c r="T32" i="10" s="1"/>
  <c r="AA31" i="10"/>
  <c r="V31" i="10"/>
  <c r="S31" i="10"/>
  <c r="Q31" i="10"/>
  <c r="P31" i="10"/>
  <c r="B31" i="10"/>
  <c r="Z31" i="10" s="1"/>
  <c r="AA30" i="10"/>
  <c r="Z30" i="10"/>
  <c r="V30" i="10"/>
  <c r="S30" i="10"/>
  <c r="T30" i="10" s="1"/>
  <c r="Q30" i="10"/>
  <c r="P30" i="10"/>
  <c r="AA29" i="10"/>
  <c r="Z29" i="10"/>
  <c r="V29" i="10"/>
  <c r="S29" i="10"/>
  <c r="Q29" i="10"/>
  <c r="P29" i="10"/>
  <c r="T29" i="10" s="1"/>
  <c r="AA28" i="10"/>
  <c r="V28" i="10"/>
  <c r="S28" i="10"/>
  <c r="Q28" i="10"/>
  <c r="P28" i="10"/>
  <c r="B28" i="10"/>
  <c r="Z28" i="10" s="1"/>
  <c r="AA27" i="10"/>
  <c r="V27" i="10"/>
  <c r="S27" i="10"/>
  <c r="Q27" i="10"/>
  <c r="P27" i="10"/>
  <c r="B27" i="10"/>
  <c r="Z27" i="10" s="1"/>
  <c r="AE26" i="10"/>
  <c r="AD26" i="10"/>
  <c r="V26" i="10"/>
  <c r="S26" i="10"/>
  <c r="Q26" i="10"/>
  <c r="P26" i="10"/>
  <c r="AE25" i="10"/>
  <c r="AD25" i="10"/>
  <c r="V25" i="10"/>
  <c r="S25" i="10"/>
  <c r="Q25" i="10"/>
  <c r="P25" i="10"/>
  <c r="AE24" i="10"/>
  <c r="AD24" i="10"/>
  <c r="V24" i="10"/>
  <c r="S24" i="10"/>
  <c r="Q24" i="10"/>
  <c r="P24" i="10"/>
  <c r="AE23" i="10"/>
  <c r="AD23" i="10"/>
  <c r="V23" i="10"/>
  <c r="S23" i="10"/>
  <c r="Q23" i="10"/>
  <c r="P23" i="10"/>
  <c r="AE22" i="10"/>
  <c r="AD22" i="10"/>
  <c r="V22" i="10"/>
  <c r="S22" i="10"/>
  <c r="Q22" i="10"/>
  <c r="P22" i="10"/>
  <c r="AE21" i="10"/>
  <c r="V21" i="10"/>
  <c r="S21" i="10"/>
  <c r="Q21" i="10"/>
  <c r="P21" i="10"/>
  <c r="B21" i="10"/>
  <c r="AD21" i="10" s="1"/>
  <c r="AE20" i="10"/>
  <c r="AD20" i="10"/>
  <c r="V20" i="10"/>
  <c r="S20" i="10"/>
  <c r="Q20" i="10"/>
  <c r="P20" i="10"/>
  <c r="AE19" i="10"/>
  <c r="V19" i="10"/>
  <c r="S19" i="10"/>
  <c r="Q19" i="10"/>
  <c r="P19" i="10"/>
  <c r="B19" i="10"/>
  <c r="AD19" i="10" s="1"/>
  <c r="AE18" i="10"/>
  <c r="V18" i="10"/>
  <c r="S18" i="10"/>
  <c r="Q18" i="10"/>
  <c r="P18" i="10"/>
  <c r="B18" i="10"/>
  <c r="AD18" i="10" s="1"/>
  <c r="V17" i="10"/>
  <c r="S17" i="10"/>
  <c r="Q17" i="10"/>
  <c r="P17" i="10"/>
  <c r="AE16" i="10"/>
  <c r="AD16" i="10"/>
  <c r="V16" i="10"/>
  <c r="S16" i="10"/>
  <c r="Q16" i="10"/>
  <c r="P16" i="10"/>
  <c r="U15" i="10"/>
  <c r="U66" i="10" s="1"/>
  <c r="M15" i="10"/>
  <c r="M66" i="10" s="1"/>
  <c r="AE72" i="10" s="1"/>
  <c r="AA14" i="10"/>
  <c r="Z14" i="10"/>
  <c r="S14" i="10"/>
  <c r="Q14" i="10"/>
  <c r="P14" i="10"/>
  <c r="AA13" i="10"/>
  <c r="S13" i="10"/>
  <c r="Q13" i="10"/>
  <c r="P13" i="10"/>
  <c r="B13" i="10"/>
  <c r="Z13" i="10" s="1"/>
  <c r="AA12" i="10"/>
  <c r="S12" i="10"/>
  <c r="Q12" i="10"/>
  <c r="P12" i="10"/>
  <c r="B12" i="10"/>
  <c r="Z12" i="10" s="1"/>
  <c r="AA11" i="10"/>
  <c r="S11" i="10"/>
  <c r="Q11" i="10"/>
  <c r="P11" i="10"/>
  <c r="T11" i="10" s="1"/>
  <c r="B11" i="10"/>
  <c r="Z11" i="10" s="1"/>
  <c r="AE10" i="10"/>
  <c r="S10" i="10"/>
  <c r="Q10" i="10"/>
  <c r="P10" i="10"/>
  <c r="B10" i="10"/>
  <c r="AD10" i="10" s="1"/>
  <c r="AE9" i="10"/>
  <c r="AE15" i="10" s="1"/>
  <c r="AD9" i="10"/>
  <c r="V9" i="10"/>
  <c r="V15" i="10" s="1"/>
  <c r="S9" i="10"/>
  <c r="Q9" i="10"/>
  <c r="P9" i="10"/>
  <c r="P15" i="10" s="1"/>
  <c r="T85" i="10" l="1"/>
  <c r="T27" i="10"/>
  <c r="AA50" i="10"/>
  <c r="T42" i="10"/>
  <c r="T44" i="10"/>
  <c r="T45" i="10"/>
  <c r="T56" i="10"/>
  <c r="AA15" i="10"/>
  <c r="T22" i="10"/>
  <c r="T26" i="10"/>
  <c r="R26" i="10" s="1"/>
  <c r="T41" i="10"/>
  <c r="T54" i="10"/>
  <c r="T12" i="10"/>
  <c r="R12" i="10" s="1"/>
  <c r="R27" i="10"/>
  <c r="W27" i="10" s="1"/>
  <c r="T31" i="10"/>
  <c r="T46" i="10"/>
  <c r="R47" i="10"/>
  <c r="W47" i="10" s="1"/>
  <c r="T49" i="10"/>
  <c r="R49" i="10" s="1"/>
  <c r="W49" i="10" s="1"/>
  <c r="R56" i="10"/>
  <c r="W56" i="10" s="1"/>
  <c r="T82" i="10"/>
  <c r="R82" i="10" s="1"/>
  <c r="W82" i="10" s="1"/>
  <c r="T13" i="10"/>
  <c r="P50" i="10"/>
  <c r="T23" i="10"/>
  <c r="T25" i="10"/>
  <c r="R25" i="10" s="1"/>
  <c r="W25" i="10" s="1"/>
  <c r="T28" i="10"/>
  <c r="R28" i="10" s="1"/>
  <c r="W28" i="10" s="1"/>
  <c r="T33" i="10"/>
  <c r="T34" i="10"/>
  <c r="T36" i="10"/>
  <c r="R36" i="10" s="1"/>
  <c r="W36" i="10" s="1"/>
  <c r="T38" i="10"/>
  <c r="Q65" i="10"/>
  <c r="Q66" i="10" s="1"/>
  <c r="T55" i="10"/>
  <c r="R29" i="10"/>
  <c r="W29" i="10" s="1"/>
  <c r="X29" i="10" s="1"/>
  <c r="R37" i="10"/>
  <c r="R48" i="10"/>
  <c r="AA65" i="10"/>
  <c r="R62" i="10"/>
  <c r="W62" i="10" s="1"/>
  <c r="X62" i="10" s="1"/>
  <c r="X47" i="10"/>
  <c r="AB47" i="10"/>
  <c r="X56" i="10"/>
  <c r="AB56" i="10"/>
  <c r="R11" i="10"/>
  <c r="W11" i="10" s="1"/>
  <c r="R13" i="10"/>
  <c r="W13" i="10" s="1"/>
  <c r="R22" i="10"/>
  <c r="W22" i="10" s="1"/>
  <c r="X27" i="10"/>
  <c r="AB27" i="10"/>
  <c r="X49" i="10"/>
  <c r="AF49" i="10"/>
  <c r="R23" i="10"/>
  <c r="W23" i="10" s="1"/>
  <c r="X28" i="10"/>
  <c r="AB28" i="10"/>
  <c r="T9" i="10"/>
  <c r="W12" i="10"/>
  <c r="T14" i="10"/>
  <c r="T17" i="10"/>
  <c r="T20" i="10"/>
  <c r="T21" i="10"/>
  <c r="X63" i="10"/>
  <c r="AB63" i="10"/>
  <c r="R85" i="10"/>
  <c r="W85" i="10" s="1"/>
  <c r="T10" i="10"/>
  <c r="R10" i="10" s="1"/>
  <c r="W10" i="10" s="1"/>
  <c r="T18" i="10"/>
  <c r="T19" i="10"/>
  <c r="T24" i="10"/>
  <c r="R34" i="10"/>
  <c r="W34" i="10" s="1"/>
  <c r="R59" i="10"/>
  <c r="W59" i="10" s="1"/>
  <c r="R78" i="10"/>
  <c r="W78" i="10" s="1"/>
  <c r="AA66" i="10"/>
  <c r="T16" i="10"/>
  <c r="V50" i="10"/>
  <c r="AE50" i="10"/>
  <c r="AE66" i="10" s="1"/>
  <c r="R17" i="10"/>
  <c r="R21" i="10"/>
  <c r="W26" i="10"/>
  <c r="W30" i="10"/>
  <c r="R30" i="10"/>
  <c r="W37" i="10"/>
  <c r="R40" i="10"/>
  <c r="W40" i="10" s="1"/>
  <c r="R41" i="10"/>
  <c r="W41" i="10" s="1"/>
  <c r="R42" i="10"/>
  <c r="W42" i="10" s="1"/>
  <c r="R43" i="10"/>
  <c r="W43" i="10" s="1"/>
  <c r="R44" i="10"/>
  <c r="W44" i="10" s="1"/>
  <c r="R45" i="10"/>
  <c r="W45" i="10" s="1"/>
  <c r="W48" i="10"/>
  <c r="W51" i="10"/>
  <c r="R51" i="10"/>
  <c r="P65" i="10"/>
  <c r="P66" i="10" s="1"/>
  <c r="V65" i="10"/>
  <c r="R54" i="10"/>
  <c r="W54" i="10" s="1"/>
  <c r="R16" i="10"/>
  <c r="W16" i="10" s="1"/>
  <c r="R18" i="10"/>
  <c r="R19" i="10"/>
  <c r="R31" i="10"/>
  <c r="W31" i="10" s="1"/>
  <c r="T39" i="10"/>
  <c r="T80" i="10"/>
  <c r="R80" i="10" s="1"/>
  <c r="R32" i="10"/>
  <c r="W32" i="10" s="1"/>
  <c r="R33" i="10"/>
  <c r="W33" i="10" s="1"/>
  <c r="R35" i="10"/>
  <c r="W35" i="10" s="1"/>
  <c r="R52" i="10"/>
  <c r="W52" i="10" s="1"/>
  <c r="R55" i="10"/>
  <c r="W55" i="10" s="1"/>
  <c r="T57" i="10"/>
  <c r="R57" i="10" s="1"/>
  <c r="W57" i="10" s="1"/>
  <c r="T61" i="10"/>
  <c r="R61" i="10" s="1"/>
  <c r="W61" i="10" s="1"/>
  <c r="T79" i="10"/>
  <c r="R81" i="10"/>
  <c r="W81" i="10" s="1"/>
  <c r="T83" i="10"/>
  <c r="R83" i="10" s="1"/>
  <c r="W83" i="10" s="1"/>
  <c r="R84" i="10"/>
  <c r="W84" i="10" s="1"/>
  <c r="T97" i="10"/>
  <c r="T53" i="10"/>
  <c r="R53" i="10" s="1"/>
  <c r="W53" i="10" s="1"/>
  <c r="T60" i="10"/>
  <c r="R60" i="10" s="1"/>
  <c r="W60" i="10" s="1"/>
  <c r="T64" i="10"/>
  <c r="R64" i="10" s="1"/>
  <c r="W64" i="10" s="1"/>
  <c r="U58" i="9"/>
  <c r="T58" i="9"/>
  <c r="J56" i="9"/>
  <c r="S55" i="9"/>
  <c r="F55" i="9"/>
  <c r="O54" i="9"/>
  <c r="I54" i="9"/>
  <c r="M54" i="9" s="1"/>
  <c r="I53" i="9"/>
  <c r="O52" i="9"/>
  <c r="K52" i="9"/>
  <c r="I52" i="9"/>
  <c r="M52" i="9" s="1"/>
  <c r="O51" i="9"/>
  <c r="I51" i="9"/>
  <c r="K51" i="9" s="1"/>
  <c r="O50" i="9"/>
  <c r="I50" i="9"/>
  <c r="M50" i="9" s="1"/>
  <c r="O49" i="9"/>
  <c r="K49" i="9"/>
  <c r="I49" i="9"/>
  <c r="O48" i="9"/>
  <c r="K48" i="9"/>
  <c r="I48" i="9"/>
  <c r="M48" i="9" s="1"/>
  <c r="O47" i="9"/>
  <c r="I47" i="9"/>
  <c r="K47" i="9" s="1"/>
  <c r="O46" i="9"/>
  <c r="M46" i="9"/>
  <c r="I46" i="9"/>
  <c r="O45" i="9"/>
  <c r="K45" i="9"/>
  <c r="I45" i="9"/>
  <c r="S43" i="9"/>
  <c r="F43" i="9"/>
  <c r="O42" i="9"/>
  <c r="I42" i="9"/>
  <c r="Q41" i="9"/>
  <c r="O41" i="9"/>
  <c r="K41" i="9"/>
  <c r="I40" i="9"/>
  <c r="M40" i="9" s="1"/>
  <c r="Q39" i="9"/>
  <c r="O39" i="9"/>
  <c r="K39" i="9"/>
  <c r="O38" i="9"/>
  <c r="I38" i="9"/>
  <c r="O37" i="9"/>
  <c r="I37" i="9"/>
  <c r="M37" i="9" s="1"/>
  <c r="O36" i="9"/>
  <c r="I36" i="9"/>
  <c r="O35" i="9"/>
  <c r="I35" i="9"/>
  <c r="O34" i="9"/>
  <c r="I34" i="9"/>
  <c r="O33" i="9"/>
  <c r="M33" i="9"/>
  <c r="I33" i="9"/>
  <c r="O32" i="9"/>
  <c r="I32" i="9"/>
  <c r="O31" i="9"/>
  <c r="I31" i="9"/>
  <c r="O30" i="9"/>
  <c r="I30" i="9"/>
  <c r="O29" i="9"/>
  <c r="M29" i="9"/>
  <c r="I29" i="9"/>
  <c r="O28" i="9"/>
  <c r="I28" i="9"/>
  <c r="O27" i="9"/>
  <c r="I27" i="9"/>
  <c r="O26" i="9"/>
  <c r="I26" i="9"/>
  <c r="O25" i="9"/>
  <c r="I25" i="9"/>
  <c r="M25" i="9" s="1"/>
  <c r="S23" i="9"/>
  <c r="F23" i="9"/>
  <c r="F56" i="9" s="1"/>
  <c r="T62" i="9" s="1"/>
  <c r="O22" i="9"/>
  <c r="I22" i="9"/>
  <c r="K22" i="9" s="1"/>
  <c r="O21" i="9"/>
  <c r="I21" i="9"/>
  <c r="K21" i="9" s="1"/>
  <c r="O20" i="9"/>
  <c r="I20" i="9"/>
  <c r="K20" i="9" s="1"/>
  <c r="O19" i="9"/>
  <c r="I19" i="9"/>
  <c r="O18" i="9"/>
  <c r="I18" i="9"/>
  <c r="M18" i="9" s="1"/>
  <c r="O17" i="9"/>
  <c r="I17" i="9"/>
  <c r="M22" i="9" l="1"/>
  <c r="O23" i="9"/>
  <c r="K18" i="9"/>
  <c r="K25" i="9"/>
  <c r="M31" i="9"/>
  <c r="K33" i="9"/>
  <c r="O55" i="9"/>
  <c r="P48" i="9"/>
  <c r="Q48" i="9" s="1"/>
  <c r="K50" i="9"/>
  <c r="P50" i="9" s="1"/>
  <c r="Q50" i="9" s="1"/>
  <c r="W80" i="10"/>
  <c r="R20" i="10"/>
  <c r="W20" i="10" s="1"/>
  <c r="R46" i="10"/>
  <c r="W46" i="10" s="1"/>
  <c r="W19" i="10"/>
  <c r="W17" i="10"/>
  <c r="X17" i="10" s="1"/>
  <c r="AB62" i="10"/>
  <c r="R24" i="10"/>
  <c r="W24" i="10" s="1"/>
  <c r="R9" i="10"/>
  <c r="AQ9" i="10" s="1"/>
  <c r="W18" i="10"/>
  <c r="AB29" i="10"/>
  <c r="I23" i="9"/>
  <c r="M20" i="9"/>
  <c r="O43" i="9"/>
  <c r="M27" i="9"/>
  <c r="K29" i="9"/>
  <c r="M35" i="9"/>
  <c r="K35" i="9" s="1"/>
  <c r="P35" i="9" s="1"/>
  <c r="Q35" i="9" s="1"/>
  <c r="K37" i="9"/>
  <c r="K46" i="9"/>
  <c r="P46" i="9" s="1"/>
  <c r="Q46" i="9" s="1"/>
  <c r="P52" i="9"/>
  <c r="Q52" i="9" s="1"/>
  <c r="R97" i="10"/>
  <c r="W97" i="10" s="1"/>
  <c r="W21" i="10"/>
  <c r="R38" i="10"/>
  <c r="W38" i="10" s="1"/>
  <c r="V66" i="10"/>
  <c r="X55" i="10"/>
  <c r="AB55" i="10"/>
  <c r="X54" i="10"/>
  <c r="AB54" i="10"/>
  <c r="X43" i="10"/>
  <c r="AF43" i="10"/>
  <c r="X23" i="10"/>
  <c r="AF23" i="10"/>
  <c r="AB13" i="10"/>
  <c r="X13" i="10"/>
  <c r="AB64" i="10"/>
  <c r="X64" i="10"/>
  <c r="X31" i="10"/>
  <c r="AB31" i="10"/>
  <c r="X42" i="10"/>
  <c r="AF42" i="10"/>
  <c r="AF19" i="10"/>
  <c r="X19" i="10"/>
  <c r="X11" i="10"/>
  <c r="AB11" i="10"/>
  <c r="AB60" i="10"/>
  <c r="W71" i="10"/>
  <c r="X61" i="10"/>
  <c r="AB61" i="10"/>
  <c r="AF33" i="10"/>
  <c r="X33" i="10"/>
  <c r="X45" i="10"/>
  <c r="AB45" i="10"/>
  <c r="X41" i="10"/>
  <c r="AF41" i="10"/>
  <c r="AF18" i="10"/>
  <c r="X18" i="10"/>
  <c r="AB53" i="10"/>
  <c r="X53" i="10"/>
  <c r="X57" i="10"/>
  <c r="AB57" i="10"/>
  <c r="X36" i="10"/>
  <c r="AF36" i="10"/>
  <c r="X44" i="10"/>
  <c r="AB44" i="10"/>
  <c r="X40" i="10"/>
  <c r="AF40" i="10"/>
  <c r="X34" i="10"/>
  <c r="AF34" i="10"/>
  <c r="X10" i="10"/>
  <c r="AF10" i="10"/>
  <c r="X21" i="10"/>
  <c r="AF21" i="10"/>
  <c r="X25" i="10"/>
  <c r="AF25" i="10"/>
  <c r="X22" i="10"/>
  <c r="AF22" i="10"/>
  <c r="X52" i="10"/>
  <c r="AB52" i="10"/>
  <c r="X35" i="10"/>
  <c r="AF35" i="10"/>
  <c r="AF32" i="10"/>
  <c r="X32" i="10"/>
  <c r="X48" i="10"/>
  <c r="AB48" i="10"/>
  <c r="X26" i="10"/>
  <c r="AF26" i="10"/>
  <c r="T15" i="10"/>
  <c r="AF16" i="10"/>
  <c r="X16" i="10"/>
  <c r="X37" i="10"/>
  <c r="AF37" i="10"/>
  <c r="T50" i="10"/>
  <c r="T65" i="10"/>
  <c r="R79" i="10"/>
  <c r="W79" i="10" s="1"/>
  <c r="R65" i="10"/>
  <c r="AE70" i="10"/>
  <c r="AE75" i="10" s="1"/>
  <c r="R14" i="10"/>
  <c r="W14" i="10" s="1"/>
  <c r="R39" i="10"/>
  <c r="R50" i="10" s="1"/>
  <c r="W65" i="10"/>
  <c r="X51" i="10"/>
  <c r="AB51" i="10"/>
  <c r="AB30" i="10"/>
  <c r="X30" i="10"/>
  <c r="X59" i="10"/>
  <c r="X71" i="10"/>
  <c r="AB59" i="10"/>
  <c r="X12" i="10"/>
  <c r="AB12" i="10"/>
  <c r="O56" i="9"/>
  <c r="K40" i="9"/>
  <c r="P40" i="9" s="1"/>
  <c r="Q40" i="9" s="1"/>
  <c r="T65" i="9"/>
  <c r="P18" i="9"/>
  <c r="Q18" i="9" s="1"/>
  <c r="P20" i="9"/>
  <c r="Q20" i="9" s="1"/>
  <c r="M21" i="9"/>
  <c r="P21" i="9" s="1"/>
  <c r="Q21" i="9" s="1"/>
  <c r="P22" i="9"/>
  <c r="Q22" i="9" s="1"/>
  <c r="P25" i="9"/>
  <c r="M26" i="9"/>
  <c r="K26" i="9" s="1"/>
  <c r="M28" i="9"/>
  <c r="K28" i="9" s="1"/>
  <c r="P29" i="9"/>
  <c r="Q29" i="9" s="1"/>
  <c r="M30" i="9"/>
  <c r="M32" i="9"/>
  <c r="K32" i="9" s="1"/>
  <c r="P33" i="9"/>
  <c r="Q33" i="9" s="1"/>
  <c r="M34" i="9"/>
  <c r="M36" i="9"/>
  <c r="K36" i="9" s="1"/>
  <c r="P36" i="9" s="1"/>
  <c r="Q36" i="9" s="1"/>
  <c r="P37" i="9"/>
  <c r="Q37" i="9" s="1"/>
  <c r="M38" i="9"/>
  <c r="K38" i="9" s="1"/>
  <c r="P38" i="9" s="1"/>
  <c r="Q38" i="9" s="1"/>
  <c r="K53" i="9"/>
  <c r="M17" i="9"/>
  <c r="M19" i="9"/>
  <c r="K19" i="9" s="1"/>
  <c r="M42" i="9"/>
  <c r="M45" i="9"/>
  <c r="M47" i="9"/>
  <c r="P47" i="9" s="1"/>
  <c r="Q47" i="9" s="1"/>
  <c r="M49" i="9"/>
  <c r="P49" i="9" s="1"/>
  <c r="Q49" i="9" s="1"/>
  <c r="M51" i="9"/>
  <c r="P51" i="9" s="1"/>
  <c r="Q51" i="9" s="1"/>
  <c r="M53" i="9"/>
  <c r="P53" i="9" s="1"/>
  <c r="Q53" i="9" s="1"/>
  <c r="K54" i="9"/>
  <c r="P54" i="9" s="1"/>
  <c r="Q54" i="9" s="1"/>
  <c r="I43" i="9"/>
  <c r="X70" i="10" l="1"/>
  <c r="AB46" i="10"/>
  <c r="AB50" i="10" s="1"/>
  <c r="X46" i="10"/>
  <c r="AF24" i="10"/>
  <c r="X24" i="10"/>
  <c r="AF20" i="10"/>
  <c r="X20" i="10"/>
  <c r="X38" i="10"/>
  <c r="AF38" i="10"/>
  <c r="K27" i="9"/>
  <c r="P27" i="9" s="1"/>
  <c r="Q27" i="9" s="1"/>
  <c r="K55" i="9"/>
  <c r="W9" i="10"/>
  <c r="K31" i="9"/>
  <c r="P31" i="9" s="1"/>
  <c r="Q31" i="9" s="1"/>
  <c r="M23" i="9"/>
  <c r="M55" i="9"/>
  <c r="X14" i="10"/>
  <c r="AB14" i="10"/>
  <c r="AB15" i="10" s="1"/>
  <c r="AB66" i="10" s="1"/>
  <c r="W15" i="10"/>
  <c r="AB65" i="10"/>
  <c r="W39" i="10"/>
  <c r="R15" i="10"/>
  <c r="R66" i="10" s="1"/>
  <c r="T66" i="10"/>
  <c r="P26" i="9"/>
  <c r="Q26" i="9" s="1"/>
  <c r="Q25" i="9"/>
  <c r="K17" i="9"/>
  <c r="P45" i="9"/>
  <c r="K34" i="9"/>
  <c r="P34" i="9" s="1"/>
  <c r="Q34" i="9" s="1"/>
  <c r="M43" i="9"/>
  <c r="K42" i="9"/>
  <c r="P42" i="9" s="1"/>
  <c r="Q42" i="9" s="1"/>
  <c r="P32" i="9"/>
  <c r="Q32" i="9" s="1"/>
  <c r="P19" i="9"/>
  <c r="Q19" i="9" s="1"/>
  <c r="K30" i="9"/>
  <c r="P30" i="9" s="1"/>
  <c r="Q30" i="9" s="1"/>
  <c r="P28" i="9"/>
  <c r="Q28" i="9" s="1"/>
  <c r="S31" i="6"/>
  <c r="M56" i="9" l="1"/>
  <c r="X9" i="10"/>
  <c r="AF9" i="10"/>
  <c r="AF15" i="10" s="1"/>
  <c r="T31" i="6"/>
  <c r="AF39" i="10"/>
  <c r="AF50" i="10" s="1"/>
  <c r="AF66" i="10" s="1"/>
  <c r="AF70" i="10" s="1"/>
  <c r="X39" i="10"/>
  <c r="W50" i="10"/>
  <c r="W66" i="10" s="1"/>
  <c r="AF72" i="10" s="1"/>
  <c r="W70" i="10"/>
  <c r="P55" i="9"/>
  <c r="Q45" i="9"/>
  <c r="Q55" i="9" s="1"/>
  <c r="K23" i="9"/>
  <c r="P17" i="9"/>
  <c r="K43" i="9"/>
  <c r="P43" i="9"/>
  <c r="K56" i="9" l="1"/>
  <c r="AF75" i="10"/>
  <c r="Q17" i="9"/>
  <c r="Q23" i="9" s="1"/>
  <c r="P23" i="9"/>
  <c r="Q43" i="9"/>
  <c r="T43" i="9"/>
  <c r="U43" i="9"/>
  <c r="U55" i="9"/>
  <c r="T55" i="9"/>
  <c r="U23" i="9" l="1"/>
  <c r="T23" i="9"/>
  <c r="P56" i="9"/>
  <c r="U62" i="9" s="1"/>
  <c r="U65" i="9" s="1"/>
  <c r="Q56" i="9"/>
  <c r="U50" i="8" l="1"/>
  <c r="T50" i="8"/>
  <c r="S47" i="8"/>
  <c r="F47" i="8"/>
  <c r="O46" i="8"/>
  <c r="I46" i="8"/>
  <c r="I45" i="8"/>
  <c r="K45" i="8" s="1"/>
  <c r="O44" i="8"/>
  <c r="I44" i="8"/>
  <c r="M44" i="8" s="1"/>
  <c r="O43" i="8"/>
  <c r="I43" i="8"/>
  <c r="K43" i="8" s="1"/>
  <c r="O42" i="8"/>
  <c r="I42" i="8"/>
  <c r="M42" i="8" s="1"/>
  <c r="O41" i="8"/>
  <c r="I41" i="8"/>
  <c r="K41" i="8" s="1"/>
  <c r="O40" i="8"/>
  <c r="I40" i="8"/>
  <c r="K40" i="8" s="1"/>
  <c r="O39" i="8"/>
  <c r="I39" i="8"/>
  <c r="K39" i="8" s="1"/>
  <c r="O38" i="8"/>
  <c r="I38" i="8"/>
  <c r="M38" i="8" s="1"/>
  <c r="O37" i="8"/>
  <c r="I37" i="8"/>
  <c r="K37" i="8" s="1"/>
  <c r="S35" i="8"/>
  <c r="F35" i="8"/>
  <c r="O34" i="8"/>
  <c r="O33" i="8"/>
  <c r="K33" i="8"/>
  <c r="I32" i="8"/>
  <c r="O31" i="8"/>
  <c r="K31" i="8"/>
  <c r="O30" i="8"/>
  <c r="I30" i="8"/>
  <c r="O29" i="8"/>
  <c r="I29" i="8"/>
  <c r="M29" i="8" s="1"/>
  <c r="O28" i="8"/>
  <c r="I28" i="8"/>
  <c r="M28" i="8" s="1"/>
  <c r="O27" i="8"/>
  <c r="I27" i="8"/>
  <c r="M27" i="8" s="1"/>
  <c r="O26" i="8"/>
  <c r="I26" i="8"/>
  <c r="M26" i="8" s="1"/>
  <c r="K26" i="8" s="1"/>
  <c r="O25" i="8"/>
  <c r="S23" i="8"/>
  <c r="F23" i="8"/>
  <c r="O22" i="8"/>
  <c r="I22" i="8"/>
  <c r="O21" i="8"/>
  <c r="I21" i="8"/>
  <c r="M21" i="8" s="1"/>
  <c r="O20" i="8"/>
  <c r="I20" i="8"/>
  <c r="M20" i="8" s="1"/>
  <c r="O19" i="8"/>
  <c r="I19" i="8"/>
  <c r="M19" i="8" s="1"/>
  <c r="O18" i="8"/>
  <c r="I18" i="8"/>
  <c r="O17" i="8"/>
  <c r="I17" i="8"/>
  <c r="M17" i="8" s="1"/>
  <c r="M40" i="8" l="1"/>
  <c r="K20" i="8"/>
  <c r="K38" i="8"/>
  <c r="P38" i="8" s="1"/>
  <c r="Q38" i="8" s="1"/>
  <c r="O23" i="8"/>
  <c r="F48" i="8"/>
  <c r="T54" i="8" s="1"/>
  <c r="K44" i="8"/>
  <c r="P44" i="8" s="1"/>
  <c r="Q44" i="8" s="1"/>
  <c r="K22" i="8"/>
  <c r="O35" i="8"/>
  <c r="P26" i="8"/>
  <c r="Q26" i="8" s="1"/>
  <c r="O47" i="8"/>
  <c r="P40" i="8"/>
  <c r="Q40" i="8" s="1"/>
  <c r="K42" i="8"/>
  <c r="P42" i="8" s="1"/>
  <c r="Q42" i="8" s="1"/>
  <c r="M18" i="8"/>
  <c r="P20" i="8"/>
  <c r="Q20" i="8" s="1"/>
  <c r="M22" i="8"/>
  <c r="M23" i="8" s="1"/>
  <c r="M30" i="8"/>
  <c r="K28" i="8"/>
  <c r="P28" i="8" s="1"/>
  <c r="Q28" i="8" s="1"/>
  <c r="T57" i="8"/>
  <c r="M32" i="8"/>
  <c r="K32" i="8" s="1"/>
  <c r="M34" i="8"/>
  <c r="M37" i="8"/>
  <c r="P37" i="8" s="1"/>
  <c r="M39" i="8"/>
  <c r="P39" i="8" s="1"/>
  <c r="Q39" i="8" s="1"/>
  <c r="M41" i="8"/>
  <c r="P41" i="8" s="1"/>
  <c r="Q41" i="8" s="1"/>
  <c r="M43" i="8"/>
  <c r="P43" i="8" s="1"/>
  <c r="Q43" i="8" s="1"/>
  <c r="M45" i="8"/>
  <c r="P45" i="8" s="1"/>
  <c r="Q45" i="8" s="1"/>
  <c r="K46" i="8"/>
  <c r="K17" i="8"/>
  <c r="K19" i="8"/>
  <c r="P19" i="8" s="1"/>
  <c r="Q19" i="8" s="1"/>
  <c r="K21" i="8"/>
  <c r="P21" i="8" s="1"/>
  <c r="Q21" i="8" s="1"/>
  <c r="I23" i="8"/>
  <c r="K25" i="8"/>
  <c r="P25" i="8" s="1"/>
  <c r="Q25" i="8" s="1"/>
  <c r="K27" i="8"/>
  <c r="P27" i="8" s="1"/>
  <c r="Q27" i="8" s="1"/>
  <c r="K29" i="8"/>
  <c r="P29" i="8" s="1"/>
  <c r="Q29" i="8" s="1"/>
  <c r="I35" i="8"/>
  <c r="M46" i="8"/>
  <c r="I48" i="8" l="1"/>
  <c r="O48" i="8"/>
  <c r="P32" i="8"/>
  <c r="Q32" i="8" s="1"/>
  <c r="P46" i="8"/>
  <c r="Q46" i="8" s="1"/>
  <c r="K30" i="8"/>
  <c r="P30" i="8" s="1"/>
  <c r="Q30" i="8" s="1"/>
  <c r="P22" i="8"/>
  <c r="Q22" i="8" s="1"/>
  <c r="K18" i="8"/>
  <c r="P18" i="8" s="1"/>
  <c r="Q18" i="8" s="1"/>
  <c r="M35" i="8"/>
  <c r="K47" i="8"/>
  <c r="Q37" i="8"/>
  <c r="K34" i="8"/>
  <c r="P17" i="8"/>
  <c r="Q17" i="8" s="1"/>
  <c r="M47" i="8"/>
  <c r="Q47" i="8" l="1"/>
  <c r="M48" i="8"/>
  <c r="K35" i="8"/>
  <c r="P47" i="8"/>
  <c r="T47" i="8" s="1"/>
  <c r="K23" i="8"/>
  <c r="P34" i="8"/>
  <c r="Q34" i="8" s="1"/>
  <c r="P23" i="8"/>
  <c r="Q23" i="8"/>
  <c r="U47" i="8" l="1"/>
  <c r="K48" i="8"/>
  <c r="P35" i="8"/>
  <c r="U23" i="8"/>
  <c r="T23" i="8"/>
  <c r="P48" i="8" l="1"/>
  <c r="U54" i="8" s="1"/>
  <c r="U57" i="8" s="1"/>
  <c r="Q35" i="8"/>
  <c r="Q48" i="8" s="1"/>
  <c r="U35" i="8"/>
  <c r="T35" i="8"/>
  <c r="AF53" i="6" l="1"/>
  <c r="AE53" i="6"/>
  <c r="AA52" i="6"/>
  <c r="S52" i="6"/>
  <c r="Q52" i="6"/>
  <c r="P52" i="6"/>
  <c r="B52" i="6"/>
  <c r="Z52" i="6" s="1"/>
  <c r="AA51" i="6"/>
  <c r="S51" i="6"/>
  <c r="Q51" i="6"/>
  <c r="P51" i="6"/>
  <c r="B51" i="6"/>
  <c r="Z51" i="6" s="1"/>
  <c r="AA50" i="6"/>
  <c r="S50" i="6"/>
  <c r="Q50" i="6"/>
  <c r="P50" i="6"/>
  <c r="B50" i="6"/>
  <c r="Z50" i="6" s="1"/>
  <c r="AA49" i="6"/>
  <c r="S49" i="6"/>
  <c r="Q49" i="6"/>
  <c r="P49" i="6"/>
  <c r="B49" i="6"/>
  <c r="Z49" i="6" s="1"/>
  <c r="AA48" i="6"/>
  <c r="Z48" i="6"/>
  <c r="S48" i="6"/>
  <c r="Q48" i="6"/>
  <c r="AA46" i="6"/>
  <c r="S46" i="6"/>
  <c r="Q46" i="6"/>
  <c r="B46" i="6"/>
  <c r="Z46" i="6" s="1"/>
  <c r="AA44" i="6"/>
  <c r="S44" i="6"/>
  <c r="Q44" i="6"/>
  <c r="Z44" i="6"/>
  <c r="AA43" i="6"/>
  <c r="Z43" i="6"/>
  <c r="V43" i="6"/>
  <c r="S43" i="6"/>
  <c r="Q43" i="6"/>
  <c r="P43" i="6"/>
  <c r="AA42" i="6"/>
  <c r="V42" i="6"/>
  <c r="S42" i="6"/>
  <c r="Q42" i="6"/>
  <c r="P42" i="6"/>
  <c r="B42" i="6"/>
  <c r="Z42" i="6" s="1"/>
  <c r="AA41" i="6"/>
  <c r="Z41" i="6"/>
  <c r="S41" i="6"/>
  <c r="Q41" i="6"/>
  <c r="AA40" i="6"/>
  <c r="Z40" i="6"/>
  <c r="S40" i="6"/>
  <c r="Q40" i="6"/>
  <c r="AA39" i="6"/>
  <c r="Z39" i="6"/>
  <c r="V39" i="6"/>
  <c r="S39" i="6"/>
  <c r="Q39" i="6"/>
  <c r="P39" i="6"/>
  <c r="AA38" i="6"/>
  <c r="Z38" i="6"/>
  <c r="V38" i="6"/>
  <c r="S38" i="6"/>
  <c r="Q38" i="6"/>
  <c r="P38" i="6"/>
  <c r="AE36" i="6"/>
  <c r="V36" i="6"/>
  <c r="S36" i="6"/>
  <c r="Q36" i="6"/>
  <c r="B36" i="6"/>
  <c r="AD36" i="6" s="1"/>
  <c r="AA35" i="6"/>
  <c r="V35" i="6"/>
  <c r="S35" i="6"/>
  <c r="Q35" i="6"/>
  <c r="B35" i="6"/>
  <c r="Z35" i="6" s="1"/>
  <c r="AA34" i="6"/>
  <c r="V34" i="6"/>
  <c r="S34" i="6"/>
  <c r="Q34" i="6"/>
  <c r="Z34" i="6"/>
  <c r="AA33" i="6"/>
  <c r="Z33" i="6"/>
  <c r="V33" i="6"/>
  <c r="S33" i="6"/>
  <c r="Q33" i="6"/>
  <c r="AA32" i="6"/>
  <c r="S32" i="6"/>
  <c r="Q32" i="6"/>
  <c r="B32" i="6"/>
  <c r="Z32" i="6" s="1"/>
  <c r="AA31" i="6"/>
  <c r="V31" i="6"/>
  <c r="W31" i="6" s="1"/>
  <c r="Q31" i="6"/>
  <c r="R31" i="6" s="1"/>
  <c r="B31" i="6"/>
  <c r="Z31" i="6" s="1"/>
  <c r="AE30" i="6"/>
  <c r="V30" i="6"/>
  <c r="S30" i="6"/>
  <c r="Q30" i="6"/>
  <c r="AD30" i="6"/>
  <c r="AE29" i="6"/>
  <c r="V29" i="6"/>
  <c r="W29" i="6" s="1"/>
  <c r="S29" i="6"/>
  <c r="Q29" i="6"/>
  <c r="R29" i="6" s="1"/>
  <c r="B29" i="6"/>
  <c r="AD29" i="6" s="1"/>
  <c r="AE28" i="6"/>
  <c r="V28" i="6"/>
  <c r="W28" i="6" s="1"/>
  <c r="S28" i="6"/>
  <c r="Q28" i="6"/>
  <c r="B28" i="6"/>
  <c r="AD28" i="6" s="1"/>
  <c r="AE27" i="6"/>
  <c r="AD27" i="6"/>
  <c r="V27" i="6"/>
  <c r="W27" i="6" s="1"/>
  <c r="S27" i="6"/>
  <c r="Q27" i="6"/>
  <c r="AE26" i="6"/>
  <c r="AD26" i="6"/>
  <c r="V26" i="6"/>
  <c r="W26" i="6" s="1"/>
  <c r="S26" i="6"/>
  <c r="Q26" i="6"/>
  <c r="R26" i="6" s="1"/>
  <c r="AE25" i="6"/>
  <c r="V25" i="6"/>
  <c r="W25" i="6" s="1"/>
  <c r="S25" i="6"/>
  <c r="Q25" i="6"/>
  <c r="B25" i="6"/>
  <c r="AD25" i="6" s="1"/>
  <c r="AE24" i="6"/>
  <c r="AD24" i="6"/>
  <c r="V24" i="6"/>
  <c r="W24" i="6" s="1"/>
  <c r="S24" i="6"/>
  <c r="Q24" i="6"/>
  <c r="AE23" i="6"/>
  <c r="V23" i="6"/>
  <c r="W23" i="6" s="1"/>
  <c r="S23" i="6"/>
  <c r="Q23" i="6"/>
  <c r="B23" i="6"/>
  <c r="AD23" i="6" s="1"/>
  <c r="AE22" i="6"/>
  <c r="AD22" i="6"/>
  <c r="V22" i="6"/>
  <c r="W22" i="6" s="1"/>
  <c r="S22" i="6"/>
  <c r="Q22" i="6"/>
  <c r="AE21" i="6"/>
  <c r="V21" i="6"/>
  <c r="W21" i="6" s="1"/>
  <c r="S21" i="6"/>
  <c r="Q21" i="6"/>
  <c r="B21" i="6"/>
  <c r="AD21" i="6" s="1"/>
  <c r="AE20" i="6"/>
  <c r="AD20" i="6"/>
  <c r="AA20" i="6"/>
  <c r="V20" i="6"/>
  <c r="W20" i="6" s="1"/>
  <c r="S20" i="6"/>
  <c r="Q20" i="6"/>
  <c r="AA18" i="6"/>
  <c r="V18" i="6"/>
  <c r="S18" i="6"/>
  <c r="Q18" i="6"/>
  <c r="P18" i="6"/>
  <c r="B18" i="6"/>
  <c r="Z18" i="6" s="1"/>
  <c r="AA17" i="6"/>
  <c r="V17" i="6"/>
  <c r="W17" i="6" s="1"/>
  <c r="S17" i="6"/>
  <c r="Q17" i="6"/>
  <c r="Z17" i="6"/>
  <c r="AA16" i="6"/>
  <c r="Z16" i="6"/>
  <c r="V16" i="6"/>
  <c r="S16" i="6"/>
  <c r="Q16" i="6"/>
  <c r="P16" i="6"/>
  <c r="P37" i="6" s="1"/>
  <c r="AA15" i="6"/>
  <c r="V15" i="6"/>
  <c r="W15" i="6" s="1"/>
  <c r="S15" i="6"/>
  <c r="Q15" i="6"/>
  <c r="R15" i="6" s="1"/>
  <c r="B15" i="6"/>
  <c r="Z15" i="6" s="1"/>
  <c r="AA14" i="6"/>
  <c r="V14" i="6"/>
  <c r="W14" i="6" s="1"/>
  <c r="S14" i="6"/>
  <c r="Q14" i="6"/>
  <c r="B14" i="6"/>
  <c r="Z14" i="6" s="1"/>
  <c r="AE13" i="6"/>
  <c r="AD13" i="6"/>
  <c r="V13" i="6"/>
  <c r="S13" i="6"/>
  <c r="Q13" i="6"/>
  <c r="S19" i="6"/>
  <c r="Q19" i="6"/>
  <c r="M12" i="6"/>
  <c r="M54" i="6" s="1"/>
  <c r="AA11" i="6"/>
  <c r="Z11" i="6"/>
  <c r="S11" i="6"/>
  <c r="Q11" i="6"/>
  <c r="R11" i="6" s="1"/>
  <c r="AA10" i="6"/>
  <c r="S10" i="6"/>
  <c r="Q10" i="6"/>
  <c r="Q12" i="6" s="1"/>
  <c r="P10" i="6"/>
  <c r="B10" i="6"/>
  <c r="Z10" i="6" s="1"/>
  <c r="AE9" i="6"/>
  <c r="AE12" i="6" s="1"/>
  <c r="AD9" i="6"/>
  <c r="V9" i="6"/>
  <c r="V12" i="6" s="1"/>
  <c r="S9" i="6"/>
  <c r="Q9" i="6"/>
  <c r="P9" i="6"/>
  <c r="P53" i="6" l="1"/>
  <c r="P54" i="6" s="1"/>
  <c r="V53" i="6"/>
  <c r="Q37" i="6"/>
  <c r="Q54" i="6" s="1"/>
  <c r="V37" i="6"/>
  <c r="P12" i="6"/>
  <c r="T41" i="6"/>
  <c r="W41" i="6" s="1"/>
  <c r="AB41" i="6" s="1"/>
  <c r="T43" i="6"/>
  <c r="W43" i="6" s="1"/>
  <c r="T46" i="6"/>
  <c r="W46" i="6" s="1"/>
  <c r="T48" i="6"/>
  <c r="R48" i="6" s="1"/>
  <c r="T51" i="6"/>
  <c r="R51" i="6" s="1"/>
  <c r="T9" i="6"/>
  <c r="W9" i="6" s="1"/>
  <c r="T30" i="6"/>
  <c r="R30" i="6" s="1"/>
  <c r="T34" i="6"/>
  <c r="W34" i="6" s="1"/>
  <c r="T39" i="6"/>
  <c r="W39" i="6" s="1"/>
  <c r="AB39" i="6" s="1"/>
  <c r="T52" i="6"/>
  <c r="W52" i="6" s="1"/>
  <c r="T16" i="6"/>
  <c r="W16" i="6" s="1"/>
  <c r="T18" i="6"/>
  <c r="R18" i="6" s="1"/>
  <c r="T33" i="6"/>
  <c r="R33" i="6" s="1"/>
  <c r="T42" i="6"/>
  <c r="R42" i="6" s="1"/>
  <c r="T49" i="6"/>
  <c r="W49" i="6" s="1"/>
  <c r="T10" i="6"/>
  <c r="AE37" i="6"/>
  <c r="AE54" i="6" s="1"/>
  <c r="T32" i="6"/>
  <c r="T35" i="6"/>
  <c r="W35" i="6" s="1"/>
  <c r="T38" i="6"/>
  <c r="R38" i="6" s="1"/>
  <c r="T40" i="6"/>
  <c r="R40" i="6" s="1"/>
  <c r="T44" i="6"/>
  <c r="W44" i="6" s="1"/>
  <c r="AA53" i="6"/>
  <c r="T50" i="6"/>
  <c r="W50" i="6" s="1"/>
  <c r="T13" i="6"/>
  <c r="R13" i="6" s="1"/>
  <c r="T36" i="6"/>
  <c r="W36" i="6" s="1"/>
  <c r="T19" i="6"/>
  <c r="R27" i="6"/>
  <c r="R28" i="6"/>
  <c r="AE60" i="6"/>
  <c r="AB15" i="6"/>
  <c r="AF26" i="6"/>
  <c r="AA12" i="6"/>
  <c r="R14" i="6"/>
  <c r="AA37" i="6"/>
  <c r="R22" i="6"/>
  <c r="R23" i="6"/>
  <c r="R25" i="6"/>
  <c r="R24" i="6"/>
  <c r="R17" i="6"/>
  <c r="R21" i="6"/>
  <c r="R32" i="6" l="1"/>
  <c r="W32" i="6"/>
  <c r="T53" i="6"/>
  <c r="R10" i="6"/>
  <c r="T12" i="6"/>
  <c r="V54" i="6"/>
  <c r="R43" i="6"/>
  <c r="W19" i="6"/>
  <c r="T37" i="6"/>
  <c r="R44" i="6"/>
  <c r="W13" i="6"/>
  <c r="W48" i="6"/>
  <c r="AB48" i="6" s="1"/>
  <c r="R52" i="6"/>
  <c r="W33" i="6"/>
  <c r="AB33" i="6" s="1"/>
  <c r="W10" i="6"/>
  <c r="W12" i="6" s="1"/>
  <c r="W42" i="6"/>
  <c r="AB42" i="6" s="1"/>
  <c r="R41" i="6"/>
  <c r="R35" i="6"/>
  <c r="R50" i="6"/>
  <c r="W40" i="6"/>
  <c r="R46" i="6"/>
  <c r="W38" i="6"/>
  <c r="W18" i="6"/>
  <c r="R39" i="6"/>
  <c r="W30" i="6"/>
  <c r="AF30" i="6" s="1"/>
  <c r="W51" i="6"/>
  <c r="AB51" i="6" s="1"/>
  <c r="R36" i="6"/>
  <c r="R49" i="6"/>
  <c r="R9" i="6"/>
  <c r="AB32" i="6"/>
  <c r="AF28" i="6"/>
  <c r="R16" i="6"/>
  <c r="R34" i="6"/>
  <c r="AB43" i="6"/>
  <c r="AB35" i="6"/>
  <c r="AB18" i="6"/>
  <c r="AB46" i="6"/>
  <c r="AB52" i="6"/>
  <c r="AB17" i="6"/>
  <c r="AB50" i="6"/>
  <c r="AF23" i="6"/>
  <c r="AB10" i="6"/>
  <c r="AB49" i="6"/>
  <c r="AB44" i="6"/>
  <c r="AF36" i="6"/>
  <c r="AF21" i="6"/>
  <c r="AF24" i="6"/>
  <c r="AB14" i="6"/>
  <c r="AB31" i="6"/>
  <c r="AF25" i="6"/>
  <c r="AF29" i="6"/>
  <c r="AF22" i="6"/>
  <c r="R19" i="6"/>
  <c r="AB11" i="6"/>
  <c r="R20" i="6"/>
  <c r="AF9" i="6"/>
  <c r="AF27" i="6"/>
  <c r="AF13" i="6"/>
  <c r="AA54" i="6"/>
  <c r="AE58" i="6" s="1"/>
  <c r="V96" i="5"/>
  <c r="S96" i="5"/>
  <c r="Q96" i="5"/>
  <c r="P96" i="5"/>
  <c r="T96" i="5" l="1"/>
  <c r="T54" i="6"/>
  <c r="AQ9" i="6"/>
  <c r="R12" i="6"/>
  <c r="W37" i="6"/>
  <c r="R37" i="6"/>
  <c r="W53" i="6"/>
  <c r="AF12" i="6"/>
  <c r="AB38" i="6"/>
  <c r="AB12" i="6"/>
  <c r="AB16" i="6"/>
  <c r="AB34" i="6"/>
  <c r="AF20" i="6"/>
  <c r="AB40" i="6"/>
  <c r="R96" i="5"/>
  <c r="W96" i="5" s="1"/>
  <c r="R54" i="6" l="1"/>
  <c r="W54" i="6"/>
  <c r="AB53" i="6"/>
  <c r="AB37" i="6"/>
  <c r="AF37" i="6"/>
  <c r="AF54" i="6" s="1"/>
  <c r="I30" i="2"/>
  <c r="M30" i="2" s="1"/>
  <c r="AB54" i="6" l="1"/>
  <c r="AF58" i="6" s="1"/>
  <c r="AF60" i="6"/>
  <c r="P39" i="2"/>
  <c r="V84" i="5" l="1"/>
  <c r="S84" i="5"/>
  <c r="Q84" i="5"/>
  <c r="P84" i="5"/>
  <c r="T84" i="5" l="1"/>
  <c r="R84" i="5" l="1"/>
  <c r="W84" i="5" s="1"/>
  <c r="V83" i="5" l="1"/>
  <c r="S83" i="5"/>
  <c r="Q83" i="5"/>
  <c r="P83" i="5"/>
  <c r="S82" i="5"/>
  <c r="Q82" i="5"/>
  <c r="P82" i="5"/>
  <c r="T82" i="5" s="1"/>
  <c r="V81" i="5"/>
  <c r="S81" i="5"/>
  <c r="Q81" i="5"/>
  <c r="P81" i="5"/>
  <c r="V80" i="5"/>
  <c r="S80" i="5"/>
  <c r="Q80" i="5"/>
  <c r="P80" i="5"/>
  <c r="V79" i="5"/>
  <c r="S79" i="5"/>
  <c r="Q79" i="5"/>
  <c r="P79" i="5"/>
  <c r="V78" i="5"/>
  <c r="S78" i="5"/>
  <c r="Q78" i="5"/>
  <c r="P78" i="5"/>
  <c r="V77" i="5"/>
  <c r="S77" i="5"/>
  <c r="Q77" i="5"/>
  <c r="P77" i="5"/>
  <c r="AF64" i="5"/>
  <c r="AE64" i="5"/>
  <c r="U64" i="5"/>
  <c r="M64" i="5"/>
  <c r="AA63" i="5"/>
  <c r="S63" i="5"/>
  <c r="Q63" i="5"/>
  <c r="P63" i="5"/>
  <c r="B63" i="5"/>
  <c r="Z63" i="5" s="1"/>
  <c r="AA62" i="5"/>
  <c r="S62" i="5"/>
  <c r="Q62" i="5"/>
  <c r="P62" i="5"/>
  <c r="T62" i="5" s="1"/>
  <c r="R62" i="5" s="1"/>
  <c r="W62" i="5" s="1"/>
  <c r="B62" i="5"/>
  <c r="Z62" i="5" s="1"/>
  <c r="AA61" i="5"/>
  <c r="S61" i="5"/>
  <c r="Q61" i="5"/>
  <c r="P61" i="5"/>
  <c r="B61" i="5"/>
  <c r="Z61" i="5" s="1"/>
  <c r="AA60" i="5"/>
  <c r="S60" i="5"/>
  <c r="Q60" i="5"/>
  <c r="P60" i="5"/>
  <c r="B60" i="5"/>
  <c r="Z60" i="5" s="1"/>
  <c r="AA59" i="5"/>
  <c r="Z59" i="5"/>
  <c r="S59" i="5"/>
  <c r="Q59" i="5"/>
  <c r="P59" i="5"/>
  <c r="X59" i="5" s="1"/>
  <c r="AA58" i="5"/>
  <c r="S58" i="5"/>
  <c r="Q58" i="5"/>
  <c r="P58" i="5"/>
  <c r="B58" i="5"/>
  <c r="Z58" i="5" s="1"/>
  <c r="AA57" i="5"/>
  <c r="S57" i="5"/>
  <c r="Q57" i="5"/>
  <c r="P57" i="5"/>
  <c r="B57" i="5"/>
  <c r="Z57" i="5" s="1"/>
  <c r="AA56" i="5"/>
  <c r="Z56" i="5"/>
  <c r="V56" i="5"/>
  <c r="S56" i="5"/>
  <c r="Q56" i="5"/>
  <c r="P56" i="5"/>
  <c r="AA55" i="5"/>
  <c r="V55" i="5"/>
  <c r="S55" i="5"/>
  <c r="Q55" i="5"/>
  <c r="P55" i="5"/>
  <c r="B55" i="5"/>
  <c r="Z55" i="5" s="1"/>
  <c r="AA54" i="5"/>
  <c r="Z54" i="5"/>
  <c r="S54" i="5"/>
  <c r="Q54" i="5"/>
  <c r="P54" i="5"/>
  <c r="AA53" i="5"/>
  <c r="Z53" i="5"/>
  <c r="S53" i="5"/>
  <c r="Q53" i="5"/>
  <c r="P53" i="5"/>
  <c r="AA52" i="5"/>
  <c r="Z52" i="5"/>
  <c r="V52" i="5"/>
  <c r="S52" i="5"/>
  <c r="Q52" i="5"/>
  <c r="P52" i="5"/>
  <c r="AA51" i="5"/>
  <c r="Z51" i="5"/>
  <c r="V51" i="5"/>
  <c r="S51" i="5"/>
  <c r="Q51" i="5"/>
  <c r="P51" i="5"/>
  <c r="U50" i="5"/>
  <c r="M50" i="5"/>
  <c r="AE49" i="5"/>
  <c r="V49" i="5"/>
  <c r="S49" i="5"/>
  <c r="Q49" i="5"/>
  <c r="P49" i="5"/>
  <c r="B49" i="5"/>
  <c r="AD49" i="5" s="1"/>
  <c r="AA48" i="5"/>
  <c r="V48" i="5"/>
  <c r="S48" i="5"/>
  <c r="Q48" i="5"/>
  <c r="P48" i="5"/>
  <c r="B48" i="5"/>
  <c r="Z48" i="5" s="1"/>
  <c r="AA47" i="5"/>
  <c r="V47" i="5"/>
  <c r="S47" i="5"/>
  <c r="Q47" i="5"/>
  <c r="P47" i="5"/>
  <c r="B47" i="5"/>
  <c r="Z47" i="5" s="1"/>
  <c r="AA46" i="5"/>
  <c r="Z46" i="5"/>
  <c r="V46" i="5"/>
  <c r="S46" i="5"/>
  <c r="Q46" i="5"/>
  <c r="P46" i="5"/>
  <c r="AA45" i="5"/>
  <c r="V45" i="5"/>
  <c r="S45" i="5"/>
  <c r="Q45" i="5"/>
  <c r="P45" i="5"/>
  <c r="B45" i="5"/>
  <c r="Z45" i="5" s="1"/>
  <c r="AA44" i="5"/>
  <c r="V44" i="5"/>
  <c r="S44" i="5"/>
  <c r="Q44" i="5"/>
  <c r="P44" i="5"/>
  <c r="B44" i="5"/>
  <c r="Z44" i="5" s="1"/>
  <c r="AE43" i="5"/>
  <c r="V43" i="5"/>
  <c r="S43" i="5"/>
  <c r="Q43" i="5"/>
  <c r="P43" i="5"/>
  <c r="B43" i="5"/>
  <c r="AD43" i="5" s="1"/>
  <c r="AE42" i="5"/>
  <c r="V42" i="5"/>
  <c r="S42" i="5"/>
  <c r="Q42" i="5"/>
  <c r="P42" i="5"/>
  <c r="B42" i="5"/>
  <c r="AD42" i="5" s="1"/>
  <c r="AE41" i="5"/>
  <c r="V41" i="5"/>
  <c r="S41" i="5"/>
  <c r="Q41" i="5"/>
  <c r="P41" i="5"/>
  <c r="B41" i="5"/>
  <c r="AD41" i="5" s="1"/>
  <c r="AE40" i="5"/>
  <c r="V40" i="5"/>
  <c r="S40" i="5"/>
  <c r="Q40" i="5"/>
  <c r="P40" i="5"/>
  <c r="B40" i="5"/>
  <c r="AD40" i="5" s="1"/>
  <c r="AE39" i="5"/>
  <c r="AD39" i="5"/>
  <c r="V39" i="5"/>
  <c r="S39" i="5"/>
  <c r="Q39" i="5"/>
  <c r="P39" i="5"/>
  <c r="AE38" i="5"/>
  <c r="V38" i="5"/>
  <c r="S38" i="5"/>
  <c r="Q38" i="5"/>
  <c r="P38" i="5"/>
  <c r="B38" i="5"/>
  <c r="AD38" i="5" s="1"/>
  <c r="AE37" i="5"/>
  <c r="AD37" i="5"/>
  <c r="V37" i="5"/>
  <c r="S37" i="5"/>
  <c r="Q37" i="5"/>
  <c r="P37" i="5"/>
  <c r="AE36" i="5"/>
  <c r="V36" i="5"/>
  <c r="S36" i="5"/>
  <c r="Q36" i="5"/>
  <c r="P36" i="5"/>
  <c r="B36" i="5"/>
  <c r="AD36" i="5" s="1"/>
  <c r="AE35" i="5"/>
  <c r="AD35" i="5"/>
  <c r="V35" i="5"/>
  <c r="S35" i="5"/>
  <c r="Q35" i="5"/>
  <c r="P35" i="5"/>
  <c r="AE34" i="5"/>
  <c r="V34" i="5"/>
  <c r="S34" i="5"/>
  <c r="Q34" i="5"/>
  <c r="P34" i="5"/>
  <c r="B34" i="5"/>
  <c r="AD34" i="5" s="1"/>
  <c r="AE33" i="5"/>
  <c r="AD33" i="5"/>
  <c r="AA33" i="5"/>
  <c r="V33" i="5"/>
  <c r="S33" i="5"/>
  <c r="Q33" i="5"/>
  <c r="P33" i="5"/>
  <c r="AE32" i="5"/>
  <c r="AD32" i="5"/>
  <c r="AA32" i="5"/>
  <c r="V32" i="5"/>
  <c r="S32" i="5"/>
  <c r="Q32" i="5"/>
  <c r="P32" i="5"/>
  <c r="AA31" i="5"/>
  <c r="V31" i="5"/>
  <c r="S31" i="5"/>
  <c r="Q31" i="5"/>
  <c r="P31" i="5"/>
  <c r="B31" i="5"/>
  <c r="Z31" i="5" s="1"/>
  <c r="AA30" i="5"/>
  <c r="V30" i="5"/>
  <c r="S30" i="5"/>
  <c r="Q30" i="5"/>
  <c r="P30" i="5"/>
  <c r="B30" i="5"/>
  <c r="Z30" i="5" s="1"/>
  <c r="AA29" i="5"/>
  <c r="Z29" i="5"/>
  <c r="V29" i="5"/>
  <c r="S29" i="5"/>
  <c r="Q29" i="5"/>
  <c r="P29" i="5"/>
  <c r="AA28" i="5"/>
  <c r="V28" i="5"/>
  <c r="S28" i="5"/>
  <c r="Q28" i="5"/>
  <c r="P28" i="5"/>
  <c r="B28" i="5"/>
  <c r="Z28" i="5" s="1"/>
  <c r="AA27" i="5"/>
  <c r="V27" i="5"/>
  <c r="S27" i="5"/>
  <c r="Q27" i="5"/>
  <c r="P27" i="5"/>
  <c r="B27" i="5"/>
  <c r="Z27" i="5" s="1"/>
  <c r="AE26" i="5"/>
  <c r="AD26" i="5"/>
  <c r="V26" i="5"/>
  <c r="S26" i="5"/>
  <c r="Q26" i="5"/>
  <c r="P26" i="5"/>
  <c r="AE25" i="5"/>
  <c r="AD25" i="5"/>
  <c r="V25" i="5"/>
  <c r="S25" i="5"/>
  <c r="Q25" i="5"/>
  <c r="P25" i="5"/>
  <c r="AE24" i="5"/>
  <c r="AD24" i="5"/>
  <c r="V24" i="5"/>
  <c r="S24" i="5"/>
  <c r="Q24" i="5"/>
  <c r="P24" i="5"/>
  <c r="AE23" i="5"/>
  <c r="AD23" i="5"/>
  <c r="V23" i="5"/>
  <c r="S23" i="5"/>
  <c r="Q23" i="5"/>
  <c r="P23" i="5"/>
  <c r="AE22" i="5"/>
  <c r="AD22" i="5"/>
  <c r="V22" i="5"/>
  <c r="S22" i="5"/>
  <c r="Q22" i="5"/>
  <c r="P22" i="5"/>
  <c r="AE21" i="5"/>
  <c r="V21" i="5"/>
  <c r="S21" i="5"/>
  <c r="Q21" i="5"/>
  <c r="P21" i="5"/>
  <c r="B21" i="5"/>
  <c r="AD21" i="5" s="1"/>
  <c r="AE20" i="5"/>
  <c r="V20" i="5"/>
  <c r="S20" i="5"/>
  <c r="Q20" i="5"/>
  <c r="P20" i="5"/>
  <c r="B20" i="5"/>
  <c r="AD20" i="5" s="1"/>
  <c r="AE19" i="5"/>
  <c r="V19" i="5"/>
  <c r="S19" i="5"/>
  <c r="Q19" i="5"/>
  <c r="P19" i="5"/>
  <c r="B19" i="5"/>
  <c r="AD19" i="5" s="1"/>
  <c r="AE18" i="5"/>
  <c r="V18" i="5"/>
  <c r="S18" i="5"/>
  <c r="Q18" i="5"/>
  <c r="P18" i="5"/>
  <c r="B18" i="5"/>
  <c r="AD18" i="5" s="1"/>
  <c r="V17" i="5"/>
  <c r="S17" i="5"/>
  <c r="Q17" i="5"/>
  <c r="P17" i="5"/>
  <c r="AE16" i="5"/>
  <c r="AD16" i="5"/>
  <c r="V16" i="5"/>
  <c r="S16" i="5"/>
  <c r="Q16" i="5"/>
  <c r="P16" i="5"/>
  <c r="U15" i="5"/>
  <c r="M15" i="5"/>
  <c r="M65" i="5" s="1"/>
  <c r="AE71" i="5" s="1"/>
  <c r="AA14" i="5"/>
  <c r="Z14" i="5"/>
  <c r="S14" i="5"/>
  <c r="Q14" i="5"/>
  <c r="P14" i="5"/>
  <c r="AA13" i="5"/>
  <c r="S13" i="5"/>
  <c r="Q13" i="5"/>
  <c r="P13" i="5"/>
  <c r="B13" i="5"/>
  <c r="Z13" i="5" s="1"/>
  <c r="AA12" i="5"/>
  <c r="S12" i="5"/>
  <c r="Q12" i="5"/>
  <c r="P12" i="5"/>
  <c r="B12" i="5"/>
  <c r="Z12" i="5" s="1"/>
  <c r="AA11" i="5"/>
  <c r="S11" i="5"/>
  <c r="Q11" i="5"/>
  <c r="P11" i="5"/>
  <c r="B11" i="5"/>
  <c r="Z11" i="5" s="1"/>
  <c r="AE10" i="5"/>
  <c r="S10" i="5"/>
  <c r="Q10" i="5"/>
  <c r="P10" i="5"/>
  <c r="B10" i="5"/>
  <c r="AD10" i="5" s="1"/>
  <c r="AE9" i="5"/>
  <c r="AD9" i="5"/>
  <c r="V9" i="5"/>
  <c r="V15" i="5" s="1"/>
  <c r="S9" i="5"/>
  <c r="Q9" i="5"/>
  <c r="P9" i="5"/>
  <c r="T30" i="5" l="1"/>
  <c r="T25" i="5"/>
  <c r="T16" i="5"/>
  <c r="AB62" i="5"/>
  <c r="X62" i="5"/>
  <c r="T41" i="5"/>
  <c r="T43" i="5"/>
  <c r="P50" i="5"/>
  <c r="U65" i="5"/>
  <c r="AA64" i="5"/>
  <c r="T31" i="5"/>
  <c r="T33" i="5"/>
  <c r="T34" i="5"/>
  <c r="R34" i="5" s="1"/>
  <c r="W34" i="5" s="1"/>
  <c r="T46" i="5"/>
  <c r="T27" i="5"/>
  <c r="T28" i="5"/>
  <c r="R28" i="5" s="1"/>
  <c r="W28" i="5" s="1"/>
  <c r="T32" i="5"/>
  <c r="R32" i="5" s="1"/>
  <c r="W32" i="5" s="1"/>
  <c r="AA15" i="5"/>
  <c r="AE50" i="5"/>
  <c r="T21" i="5"/>
  <c r="R21" i="5" s="1"/>
  <c r="W21" i="5" s="1"/>
  <c r="T29" i="5"/>
  <c r="R29" i="5" s="1"/>
  <c r="W29" i="5" s="1"/>
  <c r="T35" i="5"/>
  <c r="T38" i="5"/>
  <c r="R38" i="5" s="1"/>
  <c r="T40" i="5"/>
  <c r="R41" i="5"/>
  <c r="W41" i="5" s="1"/>
  <c r="T45" i="5"/>
  <c r="R45" i="5" s="1"/>
  <c r="W45" i="5" s="1"/>
  <c r="T60" i="5"/>
  <c r="R60" i="5" s="1"/>
  <c r="W60" i="5" s="1"/>
  <c r="Q64" i="5"/>
  <c r="Q65" i="5" s="1"/>
  <c r="T78" i="5"/>
  <c r="R78" i="5" s="1"/>
  <c r="W78" i="5" s="1"/>
  <c r="T79" i="5"/>
  <c r="T26" i="5"/>
  <c r="T37" i="5"/>
  <c r="T39" i="5"/>
  <c r="R39" i="5" s="1"/>
  <c r="W39" i="5" s="1"/>
  <c r="T51" i="5"/>
  <c r="T53" i="5"/>
  <c r="R53" i="5" s="1"/>
  <c r="V64" i="5"/>
  <c r="T57" i="5"/>
  <c r="R57" i="5" s="1"/>
  <c r="W57" i="5" s="1"/>
  <c r="T80" i="5"/>
  <c r="T81" i="5"/>
  <c r="R81" i="5" s="1"/>
  <c r="W81" i="5" s="1"/>
  <c r="R82" i="5"/>
  <c r="W82" i="5" s="1"/>
  <c r="AE15" i="5"/>
  <c r="V50" i="5"/>
  <c r="T48" i="5"/>
  <c r="P15" i="5"/>
  <c r="T17" i="5"/>
  <c r="R17" i="5" s="1"/>
  <c r="T18" i="5"/>
  <c r="R25" i="5"/>
  <c r="W25" i="5" s="1"/>
  <c r="T83" i="5"/>
  <c r="R83" i="5" s="1"/>
  <c r="W83" i="5" s="1"/>
  <c r="T10" i="5"/>
  <c r="R31" i="5"/>
  <c r="W31" i="5" s="1"/>
  <c r="R43" i="5"/>
  <c r="W43" i="5" s="1"/>
  <c r="T49" i="5"/>
  <c r="T14" i="5"/>
  <c r="R14" i="5" s="1"/>
  <c r="W14" i="5" s="1"/>
  <c r="T12" i="5"/>
  <c r="R16" i="5"/>
  <c r="W16" i="5" s="1"/>
  <c r="X16" i="5" s="1"/>
  <c r="T19" i="5"/>
  <c r="R19" i="5" s="1"/>
  <c r="W19" i="5" s="1"/>
  <c r="T22" i="5"/>
  <c r="R18" i="5"/>
  <c r="T24" i="5"/>
  <c r="R24" i="5" s="1"/>
  <c r="W24" i="5" s="1"/>
  <c r="W27" i="5"/>
  <c r="R27" i="5"/>
  <c r="R30" i="5"/>
  <c r="W30" i="5" s="1"/>
  <c r="R33" i="5"/>
  <c r="W33" i="5" s="1"/>
  <c r="T36" i="5"/>
  <c r="R36" i="5" s="1"/>
  <c r="W36" i="5" s="1"/>
  <c r="T42" i="5"/>
  <c r="R42" i="5" s="1"/>
  <c r="R46" i="5"/>
  <c r="W46" i="5" s="1"/>
  <c r="R51" i="5"/>
  <c r="T9" i="5"/>
  <c r="R9" i="5" s="1"/>
  <c r="T20" i="5"/>
  <c r="AA50" i="5"/>
  <c r="R40" i="5"/>
  <c r="W40" i="5" s="1"/>
  <c r="T52" i="5"/>
  <c r="R52" i="5" s="1"/>
  <c r="W52" i="5" s="1"/>
  <c r="T55" i="5"/>
  <c r="R55" i="5" s="1"/>
  <c r="W55" i="5" s="1"/>
  <c r="T58" i="5"/>
  <c r="R58" i="5" s="1"/>
  <c r="W58" i="5" s="1"/>
  <c r="T59" i="5"/>
  <c r="R59" i="5" s="1"/>
  <c r="W59" i="5" s="1"/>
  <c r="AB59" i="5" s="1"/>
  <c r="T61" i="5"/>
  <c r="R61" i="5" s="1"/>
  <c r="W61" i="5" s="1"/>
  <c r="T77" i="5"/>
  <c r="R80" i="5"/>
  <c r="W80" i="5" s="1"/>
  <c r="R10" i="5"/>
  <c r="T11" i="5"/>
  <c r="R11" i="5" s="1"/>
  <c r="T13" i="5"/>
  <c r="R13" i="5" s="1"/>
  <c r="R22" i="5"/>
  <c r="W22" i="5" s="1"/>
  <c r="T23" i="5"/>
  <c r="R23" i="5" s="1"/>
  <c r="R26" i="5"/>
  <c r="W26" i="5" s="1"/>
  <c r="T44" i="5"/>
  <c r="R44" i="5" s="1"/>
  <c r="T47" i="5"/>
  <c r="R47" i="5" s="1"/>
  <c r="W53" i="5"/>
  <c r="T54" i="5"/>
  <c r="R54" i="5" s="1"/>
  <c r="W54" i="5" s="1"/>
  <c r="T56" i="5"/>
  <c r="R56" i="5" s="1"/>
  <c r="W56" i="5" s="1"/>
  <c r="P64" i="5"/>
  <c r="T63" i="5"/>
  <c r="R63" i="5" s="1"/>
  <c r="W63" i="5" s="1"/>
  <c r="V84" i="4"/>
  <c r="S84" i="4"/>
  <c r="Q84" i="4"/>
  <c r="P84" i="4"/>
  <c r="AB61" i="5" l="1"/>
  <c r="X61" i="5"/>
  <c r="AF24" i="5"/>
  <c r="X24" i="5"/>
  <c r="AB56" i="5"/>
  <c r="X56" i="5"/>
  <c r="AF22" i="5"/>
  <c r="X22" i="5"/>
  <c r="AB30" i="5"/>
  <c r="X30" i="5"/>
  <c r="AB31" i="5"/>
  <c r="X31" i="5"/>
  <c r="AF25" i="5"/>
  <c r="X25" i="5"/>
  <c r="AB60" i="5"/>
  <c r="X60" i="5"/>
  <c r="AB54" i="5"/>
  <c r="X54" i="5"/>
  <c r="AF26" i="5"/>
  <c r="X26" i="5"/>
  <c r="AB55" i="5"/>
  <c r="X55" i="5"/>
  <c r="AB14" i="5"/>
  <c r="X14" i="5"/>
  <c r="AB28" i="5"/>
  <c r="X28" i="5"/>
  <c r="AB52" i="5"/>
  <c r="X52" i="5"/>
  <c r="AF36" i="5"/>
  <c r="X36" i="5"/>
  <c r="AB27" i="5"/>
  <c r="X27" i="5"/>
  <c r="AF19" i="5"/>
  <c r="X19" i="5"/>
  <c r="AB57" i="5"/>
  <c r="X57" i="5"/>
  <c r="AF39" i="5"/>
  <c r="X39" i="5"/>
  <c r="AF41" i="5"/>
  <c r="X41" i="5"/>
  <c r="AF32" i="5"/>
  <c r="X32" i="5"/>
  <c r="AF34" i="5"/>
  <c r="X34" i="5"/>
  <c r="AB53" i="5"/>
  <c r="X53" i="5"/>
  <c r="AB63" i="5"/>
  <c r="X63" i="5"/>
  <c r="AF40" i="5"/>
  <c r="X40" i="5"/>
  <c r="AF33" i="5"/>
  <c r="X33" i="5"/>
  <c r="AF43" i="5"/>
  <c r="X43" i="5"/>
  <c r="AF21" i="5"/>
  <c r="X21" i="5"/>
  <c r="W38" i="5"/>
  <c r="AB46" i="5"/>
  <c r="X46" i="5"/>
  <c r="AB45" i="5"/>
  <c r="X45" i="5"/>
  <c r="R37" i="5"/>
  <c r="W37" i="5" s="1"/>
  <c r="T50" i="5"/>
  <c r="AB58" i="5"/>
  <c r="X58" i="5"/>
  <c r="AB29" i="5"/>
  <c r="X29" i="5"/>
  <c r="T84" i="4"/>
  <c r="R84" i="4" s="1"/>
  <c r="W84" i="4" s="1"/>
  <c r="AA65" i="5"/>
  <c r="AE65" i="5"/>
  <c r="V65" i="5"/>
  <c r="W18" i="5"/>
  <c r="W42" i="5"/>
  <c r="R79" i="5"/>
  <c r="W79" i="5" s="1"/>
  <c r="W35" i="5"/>
  <c r="R35" i="5"/>
  <c r="AQ9" i="5"/>
  <c r="W47" i="5"/>
  <c r="R48" i="5"/>
  <c r="W48" i="5" s="1"/>
  <c r="P65" i="5"/>
  <c r="AF16" i="5"/>
  <c r="T64" i="5"/>
  <c r="W13" i="5"/>
  <c r="R64" i="5"/>
  <c r="W51" i="5"/>
  <c r="X51" i="5" s="1"/>
  <c r="R20" i="5"/>
  <c r="W20" i="5" s="1"/>
  <c r="W23" i="5"/>
  <c r="R12" i="5"/>
  <c r="W12" i="5" s="1"/>
  <c r="W44" i="5"/>
  <c r="R49" i="5"/>
  <c r="R77" i="5"/>
  <c r="W77" i="5" s="1"/>
  <c r="W17" i="5"/>
  <c r="X17" i="5" s="1"/>
  <c r="W11" i="5"/>
  <c r="T15" i="5"/>
  <c r="W9" i="5"/>
  <c r="X9" i="5" s="1"/>
  <c r="W10" i="5"/>
  <c r="S83" i="4"/>
  <c r="Q83" i="4"/>
  <c r="P83" i="4"/>
  <c r="V49" i="4"/>
  <c r="R50" i="5" l="1"/>
  <c r="AF23" i="5"/>
  <c r="X23" i="5"/>
  <c r="AB13" i="5"/>
  <c r="X13" i="5"/>
  <c r="AF18" i="5"/>
  <c r="X18" i="5"/>
  <c r="AF20" i="5"/>
  <c r="X20" i="5"/>
  <c r="AB11" i="5"/>
  <c r="X11" i="5"/>
  <c r="AF10" i="5"/>
  <c r="X10" i="5"/>
  <c r="AF42" i="5"/>
  <c r="X42" i="5"/>
  <c r="AE69" i="5"/>
  <c r="AE74" i="5" s="1"/>
  <c r="AF38" i="5"/>
  <c r="X38" i="5"/>
  <c r="AF35" i="5"/>
  <c r="X35" i="5"/>
  <c r="AB48" i="5"/>
  <c r="X48" i="5"/>
  <c r="AB47" i="5"/>
  <c r="X47" i="5"/>
  <c r="AF37" i="5"/>
  <c r="X37" i="5"/>
  <c r="AB44" i="5"/>
  <c r="X44" i="5"/>
  <c r="AB12" i="5"/>
  <c r="AB15" i="5" s="1"/>
  <c r="X12" i="5"/>
  <c r="W49" i="5"/>
  <c r="W50" i="5"/>
  <c r="T65" i="5"/>
  <c r="R15" i="5"/>
  <c r="R65" i="5" s="1"/>
  <c r="W15" i="5"/>
  <c r="AF9" i="5"/>
  <c r="AF15" i="5" s="1"/>
  <c r="W64" i="5"/>
  <c r="AB51" i="5"/>
  <c r="AB64" i="5" s="1"/>
  <c r="T83" i="4"/>
  <c r="R83" i="4" s="1"/>
  <c r="W83" i="4" s="1"/>
  <c r="AF49" i="5" l="1"/>
  <c r="X49" i="5"/>
  <c r="AF50" i="5"/>
  <c r="AF65" i="5" s="1"/>
  <c r="AB50" i="5"/>
  <c r="AB65" i="5" s="1"/>
  <c r="W65" i="5"/>
  <c r="AF71" i="5" s="1"/>
  <c r="V82" i="4"/>
  <c r="S82" i="4"/>
  <c r="Q82" i="4"/>
  <c r="P82" i="4"/>
  <c r="P81" i="4"/>
  <c r="Q81" i="4"/>
  <c r="S81" i="4"/>
  <c r="V81" i="4"/>
  <c r="V80" i="4"/>
  <c r="S80" i="4"/>
  <c r="Q80" i="4"/>
  <c r="P80" i="4"/>
  <c r="Z14" i="4"/>
  <c r="Z29" i="4"/>
  <c r="Z46" i="4"/>
  <c r="Z51" i="4"/>
  <c r="Z52" i="4"/>
  <c r="Z53" i="4"/>
  <c r="Z54" i="4"/>
  <c r="Z56" i="4"/>
  <c r="Z59" i="4"/>
  <c r="V79" i="4"/>
  <c r="S79" i="4"/>
  <c r="Q79" i="4"/>
  <c r="P79" i="4"/>
  <c r="V78" i="4"/>
  <c r="S78" i="4"/>
  <c r="Q78" i="4"/>
  <c r="P78" i="4"/>
  <c r="V77" i="4"/>
  <c r="S77" i="4"/>
  <c r="Q77" i="4"/>
  <c r="P77" i="4"/>
  <c r="AF64" i="4"/>
  <c r="AE64" i="4"/>
  <c r="U64" i="4"/>
  <c r="M64" i="4"/>
  <c r="AA63" i="4"/>
  <c r="S63" i="4"/>
  <c r="Q63" i="4"/>
  <c r="P63" i="4"/>
  <c r="B63" i="4"/>
  <c r="Z63" i="4" s="1"/>
  <c r="AA62" i="4"/>
  <c r="S62" i="4"/>
  <c r="Q62" i="4"/>
  <c r="P62" i="4"/>
  <c r="B62" i="4"/>
  <c r="Z62" i="4" s="1"/>
  <c r="AA61" i="4"/>
  <c r="S61" i="4"/>
  <c r="Q61" i="4"/>
  <c r="P61" i="4"/>
  <c r="B61" i="4"/>
  <c r="Z61" i="4" s="1"/>
  <c r="AA60" i="4"/>
  <c r="S60" i="4"/>
  <c r="Q60" i="4"/>
  <c r="P60" i="4"/>
  <c r="B60" i="4"/>
  <c r="Z60" i="4" s="1"/>
  <c r="AA59" i="4"/>
  <c r="S59" i="4"/>
  <c r="Q59" i="4"/>
  <c r="P59" i="4"/>
  <c r="AA58" i="4"/>
  <c r="S58" i="4"/>
  <c r="Q58" i="4"/>
  <c r="P58" i="4"/>
  <c r="B58" i="4"/>
  <c r="Z58" i="4" s="1"/>
  <c r="AA57" i="4"/>
  <c r="S57" i="4"/>
  <c r="Q57" i="4"/>
  <c r="P57" i="4"/>
  <c r="B57" i="4"/>
  <c r="Z57" i="4" s="1"/>
  <c r="AA56" i="4"/>
  <c r="V56" i="4"/>
  <c r="S56" i="4"/>
  <c r="Q56" i="4"/>
  <c r="P56" i="4"/>
  <c r="AA55" i="4"/>
  <c r="V55" i="4"/>
  <c r="S55" i="4"/>
  <c r="Q55" i="4"/>
  <c r="P55" i="4"/>
  <c r="B55" i="4"/>
  <c r="Z55" i="4" s="1"/>
  <c r="AA54" i="4"/>
  <c r="S54" i="4"/>
  <c r="Q54" i="4"/>
  <c r="P54" i="4"/>
  <c r="AA53" i="4"/>
  <c r="S53" i="4"/>
  <c r="Q53" i="4"/>
  <c r="P53" i="4"/>
  <c r="AA52" i="4"/>
  <c r="V52" i="4"/>
  <c r="S52" i="4"/>
  <c r="Q52" i="4"/>
  <c r="P52" i="4"/>
  <c r="AA51" i="4"/>
  <c r="V51" i="4"/>
  <c r="S51" i="4"/>
  <c r="Q51" i="4"/>
  <c r="P51" i="4"/>
  <c r="U50" i="4"/>
  <c r="M50" i="4"/>
  <c r="AE49" i="4"/>
  <c r="S49" i="4"/>
  <c r="Q49" i="4"/>
  <c r="P49" i="4"/>
  <c r="T49" i="4" s="1"/>
  <c r="B49" i="4"/>
  <c r="AD49" i="4" s="1"/>
  <c r="AA48" i="4"/>
  <c r="V48" i="4"/>
  <c r="S48" i="4"/>
  <c r="Q48" i="4"/>
  <c r="P48" i="4"/>
  <c r="B48" i="4"/>
  <c r="Z48" i="4" s="1"/>
  <c r="AA47" i="4"/>
  <c r="V47" i="4"/>
  <c r="S47" i="4"/>
  <c r="Q47" i="4"/>
  <c r="P47" i="4"/>
  <c r="B47" i="4"/>
  <c r="Z47" i="4" s="1"/>
  <c r="AA46" i="4"/>
  <c r="V46" i="4"/>
  <c r="S46" i="4"/>
  <c r="Q46" i="4"/>
  <c r="P46" i="4"/>
  <c r="AA45" i="4"/>
  <c r="V45" i="4"/>
  <c r="S45" i="4"/>
  <c r="Q45" i="4"/>
  <c r="P45" i="4"/>
  <c r="B45" i="4"/>
  <c r="Z45" i="4" s="1"/>
  <c r="AA44" i="4"/>
  <c r="V44" i="4"/>
  <c r="S44" i="4"/>
  <c r="Q44" i="4"/>
  <c r="P44" i="4"/>
  <c r="B44" i="4"/>
  <c r="Z44" i="4" s="1"/>
  <c r="AE43" i="4"/>
  <c r="V43" i="4"/>
  <c r="S43" i="4"/>
  <c r="Q43" i="4"/>
  <c r="P43" i="4"/>
  <c r="B43" i="4"/>
  <c r="AD43" i="4" s="1"/>
  <c r="AE42" i="4"/>
  <c r="V42" i="4"/>
  <c r="S42" i="4"/>
  <c r="Q42" i="4"/>
  <c r="P42" i="4"/>
  <c r="B42" i="4"/>
  <c r="AD42" i="4" s="1"/>
  <c r="AE41" i="4"/>
  <c r="V41" i="4"/>
  <c r="S41" i="4"/>
  <c r="Q41" i="4"/>
  <c r="P41" i="4"/>
  <c r="B41" i="4"/>
  <c r="AD41" i="4" s="1"/>
  <c r="AE40" i="4"/>
  <c r="V40" i="4"/>
  <c r="S40" i="4"/>
  <c r="Q40" i="4"/>
  <c r="P40" i="4"/>
  <c r="B40" i="4"/>
  <c r="AD40" i="4" s="1"/>
  <c r="AE39" i="4"/>
  <c r="AD39" i="4"/>
  <c r="V39" i="4"/>
  <c r="S39" i="4"/>
  <c r="Q39" i="4"/>
  <c r="P39" i="4"/>
  <c r="AE38" i="4"/>
  <c r="V38" i="4"/>
  <c r="S38" i="4"/>
  <c r="Q38" i="4"/>
  <c r="P38" i="4"/>
  <c r="B38" i="4"/>
  <c r="AD38" i="4" s="1"/>
  <c r="AE37" i="4"/>
  <c r="AD37" i="4"/>
  <c r="V37" i="4"/>
  <c r="S37" i="4"/>
  <c r="Q37" i="4"/>
  <c r="P37" i="4"/>
  <c r="AE36" i="4"/>
  <c r="V36" i="4"/>
  <c r="S36" i="4"/>
  <c r="Q36" i="4"/>
  <c r="P36" i="4"/>
  <c r="B36" i="4"/>
  <c r="AD36" i="4" s="1"/>
  <c r="AE35" i="4"/>
  <c r="AD35" i="4"/>
  <c r="V35" i="4"/>
  <c r="S35" i="4"/>
  <c r="Q35" i="4"/>
  <c r="P35" i="4"/>
  <c r="AE34" i="4"/>
  <c r="V34" i="4"/>
  <c r="S34" i="4"/>
  <c r="Q34" i="4"/>
  <c r="P34" i="4"/>
  <c r="B34" i="4"/>
  <c r="AD34" i="4" s="1"/>
  <c r="AE33" i="4"/>
  <c r="AD33" i="4"/>
  <c r="AA33" i="4"/>
  <c r="V33" i="4"/>
  <c r="S33" i="4"/>
  <c r="Q33" i="4"/>
  <c r="P33" i="4"/>
  <c r="AE32" i="4"/>
  <c r="AD32" i="4"/>
  <c r="AA32" i="4"/>
  <c r="V32" i="4"/>
  <c r="S32" i="4"/>
  <c r="Q32" i="4"/>
  <c r="P32" i="4"/>
  <c r="AA31" i="4"/>
  <c r="V31" i="4"/>
  <c r="S31" i="4"/>
  <c r="Q31" i="4"/>
  <c r="P31" i="4"/>
  <c r="B31" i="4"/>
  <c r="Z31" i="4" s="1"/>
  <c r="AA30" i="4"/>
  <c r="V30" i="4"/>
  <c r="S30" i="4"/>
  <c r="Q30" i="4"/>
  <c r="P30" i="4"/>
  <c r="B30" i="4"/>
  <c r="Z30" i="4" s="1"/>
  <c r="AA29" i="4"/>
  <c r="V29" i="4"/>
  <c r="S29" i="4"/>
  <c r="Q29" i="4"/>
  <c r="P29" i="4"/>
  <c r="AA28" i="4"/>
  <c r="V28" i="4"/>
  <c r="S28" i="4"/>
  <c r="Q28" i="4"/>
  <c r="P28" i="4"/>
  <c r="B28" i="4"/>
  <c r="Z28" i="4" s="1"/>
  <c r="AA27" i="4"/>
  <c r="V27" i="4"/>
  <c r="S27" i="4"/>
  <c r="Q27" i="4"/>
  <c r="P27" i="4"/>
  <c r="B27" i="4"/>
  <c r="Z27" i="4" s="1"/>
  <c r="AE26" i="4"/>
  <c r="AD26" i="4"/>
  <c r="V26" i="4"/>
  <c r="S26" i="4"/>
  <c r="Q26" i="4"/>
  <c r="P26" i="4"/>
  <c r="AE25" i="4"/>
  <c r="AD25" i="4"/>
  <c r="V25" i="4"/>
  <c r="S25" i="4"/>
  <c r="Q25" i="4"/>
  <c r="P25" i="4"/>
  <c r="AE24" i="4"/>
  <c r="AD24" i="4"/>
  <c r="V24" i="4"/>
  <c r="S24" i="4"/>
  <c r="Q24" i="4"/>
  <c r="P24" i="4"/>
  <c r="AE23" i="4"/>
  <c r="AD23" i="4"/>
  <c r="V23" i="4"/>
  <c r="S23" i="4"/>
  <c r="Q23" i="4"/>
  <c r="P23" i="4"/>
  <c r="AE22" i="4"/>
  <c r="AD22" i="4"/>
  <c r="V22" i="4"/>
  <c r="S22" i="4"/>
  <c r="Q22" i="4"/>
  <c r="P22" i="4"/>
  <c r="AE21" i="4"/>
  <c r="V21" i="4"/>
  <c r="S21" i="4"/>
  <c r="Q21" i="4"/>
  <c r="P21" i="4"/>
  <c r="B21" i="4"/>
  <c r="AD21" i="4" s="1"/>
  <c r="AE20" i="4"/>
  <c r="V20" i="4"/>
  <c r="S20" i="4"/>
  <c r="Q20" i="4"/>
  <c r="P20" i="4"/>
  <c r="B20" i="4"/>
  <c r="AD20" i="4" s="1"/>
  <c r="AE19" i="4"/>
  <c r="V19" i="4"/>
  <c r="S19" i="4"/>
  <c r="Q19" i="4"/>
  <c r="P19" i="4"/>
  <c r="B19" i="4"/>
  <c r="AD19" i="4" s="1"/>
  <c r="AE18" i="4"/>
  <c r="V18" i="4"/>
  <c r="S18" i="4"/>
  <c r="Q18" i="4"/>
  <c r="P18" i="4"/>
  <c r="B18" i="4"/>
  <c r="AD18" i="4" s="1"/>
  <c r="V17" i="4"/>
  <c r="S17" i="4"/>
  <c r="Q17" i="4"/>
  <c r="P17" i="4"/>
  <c r="AE16" i="4"/>
  <c r="AD16" i="4"/>
  <c r="V16" i="4"/>
  <c r="S16" i="4"/>
  <c r="Q16" i="4"/>
  <c r="P16" i="4"/>
  <c r="U15" i="4"/>
  <c r="M15" i="4"/>
  <c r="AA14" i="4"/>
  <c r="S14" i="4"/>
  <c r="Q14" i="4"/>
  <c r="P14" i="4"/>
  <c r="AA13" i="4"/>
  <c r="S13" i="4"/>
  <c r="Q13" i="4"/>
  <c r="P13" i="4"/>
  <c r="B13" i="4"/>
  <c r="Z13" i="4" s="1"/>
  <c r="AA12" i="4"/>
  <c r="S12" i="4"/>
  <c r="Q12" i="4"/>
  <c r="P12" i="4"/>
  <c r="B12" i="4"/>
  <c r="Z12" i="4" s="1"/>
  <c r="AA11" i="4"/>
  <c r="S11" i="4"/>
  <c r="Q11" i="4"/>
  <c r="P11" i="4"/>
  <c r="B11" i="4"/>
  <c r="Z11" i="4" s="1"/>
  <c r="AE10" i="4"/>
  <c r="S10" i="4"/>
  <c r="Q10" i="4"/>
  <c r="P10" i="4"/>
  <c r="B10" i="4"/>
  <c r="AD10" i="4" s="1"/>
  <c r="AE9" i="4"/>
  <c r="AD9" i="4"/>
  <c r="V9" i="4"/>
  <c r="V15" i="4" s="1"/>
  <c r="S9" i="4"/>
  <c r="Q9" i="4"/>
  <c r="P9" i="4"/>
  <c r="T81" i="4" l="1"/>
  <c r="AF69" i="5"/>
  <c r="AF74" i="5" s="1"/>
  <c r="T82" i="4"/>
  <c r="R82" i="4" s="1"/>
  <c r="R81" i="4"/>
  <c r="W81" i="4" s="1"/>
  <c r="T80" i="4"/>
  <c r="T79" i="4"/>
  <c r="T78" i="4"/>
  <c r="T77" i="4"/>
  <c r="U65" i="4"/>
  <c r="T44" i="4"/>
  <c r="R44" i="4" s="1"/>
  <c r="W44" i="4" s="1"/>
  <c r="T62" i="4"/>
  <c r="R62" i="4" s="1"/>
  <c r="W62" i="4" s="1"/>
  <c r="T21" i="4"/>
  <c r="R21" i="4" s="1"/>
  <c r="W21" i="4" s="1"/>
  <c r="T38" i="4"/>
  <c r="R38" i="4" s="1"/>
  <c r="W38" i="4" s="1"/>
  <c r="T39" i="4"/>
  <c r="R39" i="4" s="1"/>
  <c r="W39" i="4" s="1"/>
  <c r="T26" i="4"/>
  <c r="R26" i="4" s="1"/>
  <c r="W26" i="4" s="1"/>
  <c r="T32" i="4"/>
  <c r="R32" i="4" s="1"/>
  <c r="W32" i="4" s="1"/>
  <c r="T51" i="4"/>
  <c r="R51" i="4" s="1"/>
  <c r="W51" i="4" s="1"/>
  <c r="T9" i="4"/>
  <c r="T57" i="4"/>
  <c r="R57" i="4" s="1"/>
  <c r="W57" i="4" s="1"/>
  <c r="T40" i="4"/>
  <c r="R40" i="4" s="1"/>
  <c r="W40" i="4" s="1"/>
  <c r="T45" i="4"/>
  <c r="R45" i="4" s="1"/>
  <c r="W45" i="4" s="1"/>
  <c r="T47" i="4"/>
  <c r="R47" i="4" s="1"/>
  <c r="W47" i="4" s="1"/>
  <c r="T56" i="4"/>
  <c r="R56" i="4" s="1"/>
  <c r="W56" i="4" s="1"/>
  <c r="T10" i="4"/>
  <c r="R10" i="4" s="1"/>
  <c r="W10" i="4" s="1"/>
  <c r="T24" i="4"/>
  <c r="R24" i="4" s="1"/>
  <c r="W24" i="4" s="1"/>
  <c r="T28" i="4"/>
  <c r="R28" i="4" s="1"/>
  <c r="W28" i="4" s="1"/>
  <c r="T30" i="4"/>
  <c r="R30" i="4" s="1"/>
  <c r="W30" i="4" s="1"/>
  <c r="T37" i="4"/>
  <c r="R37" i="4" s="1"/>
  <c r="W37" i="4" s="1"/>
  <c r="T41" i="4"/>
  <c r="R41" i="4" s="1"/>
  <c r="T11" i="4"/>
  <c r="R11" i="4" s="1"/>
  <c r="T31" i="4"/>
  <c r="R31" i="4" s="1"/>
  <c r="T48" i="4"/>
  <c r="R48" i="4" s="1"/>
  <c r="W48" i="4" s="1"/>
  <c r="T52" i="4"/>
  <c r="R52" i="4" s="1"/>
  <c r="W52" i="4" s="1"/>
  <c r="AA64" i="4"/>
  <c r="AE15" i="4"/>
  <c r="M65" i="4"/>
  <c r="AE71" i="4" s="1"/>
  <c r="T20" i="4"/>
  <c r="R20" i="4" s="1"/>
  <c r="W20" i="4" s="1"/>
  <c r="T27" i="4"/>
  <c r="R27" i="4" s="1"/>
  <c r="T29" i="4"/>
  <c r="R29" i="4" s="1"/>
  <c r="W29" i="4" s="1"/>
  <c r="T33" i="4"/>
  <c r="R33" i="4" s="1"/>
  <c r="W33" i="4" s="1"/>
  <c r="T34" i="4"/>
  <c r="R34" i="4" s="1"/>
  <c r="W34" i="4" s="1"/>
  <c r="T36" i="4"/>
  <c r="T46" i="4"/>
  <c r="R46" i="4" s="1"/>
  <c r="W46" i="4" s="1"/>
  <c r="Q64" i="4"/>
  <c r="Q65" i="4" s="1"/>
  <c r="V64" i="4"/>
  <c r="T60" i="4"/>
  <c r="R60" i="4" s="1"/>
  <c r="W60" i="4" s="1"/>
  <c r="T17" i="4"/>
  <c r="R17" i="4" s="1"/>
  <c r="T23" i="4"/>
  <c r="R23" i="4" s="1"/>
  <c r="W23" i="4" s="1"/>
  <c r="T25" i="4"/>
  <c r="R25" i="4" s="1"/>
  <c r="W25" i="4" s="1"/>
  <c r="T35" i="4"/>
  <c r="R35" i="4" s="1"/>
  <c r="W35" i="4" s="1"/>
  <c r="T43" i="4"/>
  <c r="R43" i="4" s="1"/>
  <c r="W43" i="4" s="1"/>
  <c r="T55" i="4"/>
  <c r="R55" i="4" s="1"/>
  <c r="W55" i="4" s="1"/>
  <c r="P15" i="4"/>
  <c r="T14" i="4"/>
  <c r="R14" i="4" s="1"/>
  <c r="W14" i="4" s="1"/>
  <c r="T18" i="4"/>
  <c r="T12" i="4"/>
  <c r="R12" i="4" s="1"/>
  <c r="AA50" i="4"/>
  <c r="R9" i="4"/>
  <c r="W9" i="4" s="1"/>
  <c r="X9" i="4" s="1"/>
  <c r="AA15" i="4"/>
  <c r="T13" i="4"/>
  <c r="T19" i="4"/>
  <c r="T22" i="4"/>
  <c r="T42" i="4"/>
  <c r="R42" i="4" s="1"/>
  <c r="W42" i="4" s="1"/>
  <c r="P64" i="4"/>
  <c r="P50" i="4"/>
  <c r="T16" i="4"/>
  <c r="AE50" i="4"/>
  <c r="T54" i="4"/>
  <c r="R54" i="4" s="1"/>
  <c r="W54" i="4" s="1"/>
  <c r="V50" i="4"/>
  <c r="T59" i="4"/>
  <c r="R59" i="4" s="1"/>
  <c r="W59" i="4" s="1"/>
  <c r="T61" i="4"/>
  <c r="R61" i="4" s="1"/>
  <c r="W61" i="4" s="1"/>
  <c r="R49" i="4"/>
  <c r="T63" i="4"/>
  <c r="R63" i="4" s="1"/>
  <c r="W63" i="4" s="1"/>
  <c r="T53" i="4"/>
  <c r="R53" i="4" s="1"/>
  <c r="W53" i="4" s="1"/>
  <c r="T58" i="4"/>
  <c r="R58" i="4" s="1"/>
  <c r="W58" i="4" s="1"/>
  <c r="W16" i="3"/>
  <c r="AB54" i="4" l="1"/>
  <c r="X54" i="4"/>
  <c r="AB55" i="4"/>
  <c r="X55" i="4"/>
  <c r="AF37" i="4"/>
  <c r="X37" i="4"/>
  <c r="AF32" i="4"/>
  <c r="X32" i="4"/>
  <c r="AB53" i="4"/>
  <c r="X53" i="4"/>
  <c r="AB61" i="4"/>
  <c r="X61" i="4"/>
  <c r="AF42" i="4"/>
  <c r="X42" i="4"/>
  <c r="AF43" i="4"/>
  <c r="X43" i="4"/>
  <c r="AB46" i="4"/>
  <c r="X46" i="4"/>
  <c r="AB29" i="4"/>
  <c r="X29" i="4"/>
  <c r="AB30" i="4"/>
  <c r="X30" i="4"/>
  <c r="AB56" i="4"/>
  <c r="X56" i="4"/>
  <c r="AB57" i="4"/>
  <c r="X57" i="4"/>
  <c r="AF26" i="4"/>
  <c r="X26" i="4"/>
  <c r="AF23" i="4"/>
  <c r="X23" i="4"/>
  <c r="AB48" i="4"/>
  <c r="X48" i="4"/>
  <c r="AF40" i="4"/>
  <c r="X40" i="4"/>
  <c r="AB59" i="4"/>
  <c r="X59" i="4"/>
  <c r="AB14" i="4"/>
  <c r="X14" i="4"/>
  <c r="AF35" i="4"/>
  <c r="X35" i="4"/>
  <c r="AB60" i="4"/>
  <c r="X60" i="4"/>
  <c r="AB28" i="4"/>
  <c r="X28" i="4"/>
  <c r="AB47" i="4"/>
  <c r="X47" i="4"/>
  <c r="AF39" i="4"/>
  <c r="X39" i="4"/>
  <c r="AB44" i="4"/>
  <c r="X44" i="4"/>
  <c r="AB58" i="4"/>
  <c r="X58" i="4"/>
  <c r="AF33" i="4"/>
  <c r="X33" i="4"/>
  <c r="AF10" i="4"/>
  <c r="X10" i="4"/>
  <c r="AF21" i="4"/>
  <c r="X21" i="4"/>
  <c r="AB63" i="4"/>
  <c r="X63" i="4"/>
  <c r="AB62" i="4"/>
  <c r="X62" i="4"/>
  <c r="AF25" i="4"/>
  <c r="X25" i="4"/>
  <c r="AF34" i="4"/>
  <c r="X34" i="4"/>
  <c r="AF20" i="4"/>
  <c r="X20" i="4"/>
  <c r="AB52" i="4"/>
  <c r="X52" i="4"/>
  <c r="AF24" i="4"/>
  <c r="X24" i="4"/>
  <c r="AB45" i="4"/>
  <c r="X45" i="4"/>
  <c r="AB51" i="4"/>
  <c r="X51" i="4"/>
  <c r="AF38" i="4"/>
  <c r="X38" i="4"/>
  <c r="W82" i="4"/>
  <c r="W41" i="4"/>
  <c r="R80" i="4"/>
  <c r="W80" i="4" s="1"/>
  <c r="R79" i="4"/>
  <c r="W79" i="4" s="1"/>
  <c r="R78" i="4"/>
  <c r="W78" i="4" s="1"/>
  <c r="R77" i="4"/>
  <c r="W77" i="4" s="1"/>
  <c r="V65" i="4"/>
  <c r="W31" i="4"/>
  <c r="W11" i="4"/>
  <c r="W27" i="4"/>
  <c r="T15" i="4"/>
  <c r="AE65" i="4"/>
  <c r="P65" i="4"/>
  <c r="W17" i="4"/>
  <c r="X17" i="4" s="1"/>
  <c r="R36" i="4"/>
  <c r="W36" i="4" s="1"/>
  <c r="R18" i="4"/>
  <c r="W18" i="4" s="1"/>
  <c r="AF9" i="4"/>
  <c r="AF15" i="4" s="1"/>
  <c r="W49" i="4"/>
  <c r="T50" i="4"/>
  <c r="R16" i="4"/>
  <c r="R22" i="4"/>
  <c r="W22" i="4" s="1"/>
  <c r="R13" i="4"/>
  <c r="W13" i="4" s="1"/>
  <c r="W12" i="4"/>
  <c r="R19" i="4"/>
  <c r="W19" i="4" s="1"/>
  <c r="AA65" i="4"/>
  <c r="AQ9" i="4"/>
  <c r="T64" i="4"/>
  <c r="O39" i="2"/>
  <c r="O31" i="2"/>
  <c r="I31" i="2"/>
  <c r="M31" i="2" s="1"/>
  <c r="K31" i="2" s="1"/>
  <c r="O29" i="2"/>
  <c r="I29" i="2"/>
  <c r="M29" i="2" s="1"/>
  <c r="K29" i="2" s="1"/>
  <c r="AG64" i="3"/>
  <c r="AF64" i="3"/>
  <c r="V64" i="3"/>
  <c r="N64" i="3"/>
  <c r="AB63" i="3"/>
  <c r="T63" i="3"/>
  <c r="R63" i="3"/>
  <c r="Q63" i="3"/>
  <c r="C63" i="3"/>
  <c r="AA63" i="3" s="1"/>
  <c r="AB62" i="3"/>
  <c r="T62" i="3"/>
  <c r="R62" i="3"/>
  <c r="Q62" i="3"/>
  <c r="C62" i="3"/>
  <c r="AA62" i="3" s="1"/>
  <c r="AB61" i="3"/>
  <c r="T61" i="3"/>
  <c r="R61" i="3"/>
  <c r="Q61" i="3"/>
  <c r="C61" i="3"/>
  <c r="AA61" i="3" s="1"/>
  <c r="AB60" i="3"/>
  <c r="T60" i="3"/>
  <c r="R60" i="3"/>
  <c r="Q60" i="3"/>
  <c r="C60" i="3"/>
  <c r="AA60" i="3" s="1"/>
  <c r="AB59" i="3"/>
  <c r="AA59" i="3"/>
  <c r="T59" i="3"/>
  <c r="R59" i="3"/>
  <c r="Q59" i="3"/>
  <c r="AB58" i="3"/>
  <c r="T58" i="3"/>
  <c r="R58" i="3"/>
  <c r="Q58" i="3"/>
  <c r="C58" i="3"/>
  <c r="AA58" i="3" s="1"/>
  <c r="AB57" i="3"/>
  <c r="T57" i="3"/>
  <c r="R57" i="3"/>
  <c r="Q57" i="3"/>
  <c r="C57" i="3"/>
  <c r="AA57" i="3" s="1"/>
  <c r="AB56" i="3"/>
  <c r="AA56" i="3"/>
  <c r="W56" i="3"/>
  <c r="T56" i="3"/>
  <c r="R56" i="3"/>
  <c r="Q56" i="3"/>
  <c r="AB55" i="3"/>
  <c r="W55" i="3"/>
  <c r="T55" i="3"/>
  <c r="R55" i="3"/>
  <c r="Q55" i="3"/>
  <c r="C55" i="3"/>
  <c r="AA55" i="3" s="1"/>
  <c r="AB54" i="3"/>
  <c r="AA54" i="3"/>
  <c r="T54" i="3"/>
  <c r="R54" i="3"/>
  <c r="Q54" i="3"/>
  <c r="AB53" i="3"/>
  <c r="AA53" i="3"/>
  <c r="T53" i="3"/>
  <c r="R53" i="3"/>
  <c r="Q53" i="3"/>
  <c r="AB52" i="3"/>
  <c r="AA52" i="3"/>
  <c r="W52" i="3"/>
  <c r="T52" i="3"/>
  <c r="R52" i="3"/>
  <c r="Q52" i="3"/>
  <c r="AB51" i="3"/>
  <c r="AA51" i="3"/>
  <c r="W51" i="3"/>
  <c r="T51" i="3"/>
  <c r="R51" i="3"/>
  <c r="Q51" i="3"/>
  <c r="V50" i="3"/>
  <c r="N50" i="3"/>
  <c r="AF49" i="3"/>
  <c r="W49" i="3"/>
  <c r="T49" i="3"/>
  <c r="R49" i="3"/>
  <c r="Q49" i="3"/>
  <c r="C49" i="3"/>
  <c r="AE49" i="3" s="1"/>
  <c r="AB48" i="3"/>
  <c r="W48" i="3"/>
  <c r="T48" i="3"/>
  <c r="R48" i="3"/>
  <c r="Q48" i="3"/>
  <c r="C48" i="3"/>
  <c r="AA48" i="3" s="1"/>
  <c r="AB47" i="3"/>
  <c r="W47" i="3"/>
  <c r="T47" i="3"/>
  <c r="R47" i="3"/>
  <c r="Q47" i="3"/>
  <c r="C47" i="3"/>
  <c r="AA47" i="3" s="1"/>
  <c r="AB46" i="3"/>
  <c r="AA46" i="3"/>
  <c r="W46" i="3"/>
  <c r="T46" i="3"/>
  <c r="R46" i="3"/>
  <c r="Q46" i="3"/>
  <c r="AB45" i="3"/>
  <c r="W45" i="3"/>
  <c r="T45" i="3"/>
  <c r="R45" i="3"/>
  <c r="Q45" i="3"/>
  <c r="C45" i="3"/>
  <c r="AA45" i="3" s="1"/>
  <c r="AB44" i="3"/>
  <c r="W44" i="3"/>
  <c r="T44" i="3"/>
  <c r="R44" i="3"/>
  <c r="Q44" i="3"/>
  <c r="C44" i="3"/>
  <c r="AA44" i="3" s="1"/>
  <c r="AF43" i="3"/>
  <c r="W43" i="3"/>
  <c r="T43" i="3"/>
  <c r="R43" i="3"/>
  <c r="Q43" i="3"/>
  <c r="C43" i="3"/>
  <c r="AE43" i="3" s="1"/>
  <c r="AF42" i="3"/>
  <c r="W42" i="3"/>
  <c r="T42" i="3"/>
  <c r="R42" i="3"/>
  <c r="Q42" i="3"/>
  <c r="C42" i="3"/>
  <c r="AE42" i="3" s="1"/>
  <c r="AF41" i="3"/>
  <c r="W41" i="3"/>
  <c r="T41" i="3"/>
  <c r="R41" i="3"/>
  <c r="Q41" i="3"/>
  <c r="C41" i="3"/>
  <c r="AE41" i="3" s="1"/>
  <c r="AF40" i="3"/>
  <c r="W40" i="3"/>
  <c r="T40" i="3"/>
  <c r="R40" i="3"/>
  <c r="Q40" i="3"/>
  <c r="C40" i="3"/>
  <c r="AE40" i="3" s="1"/>
  <c r="AF39" i="3"/>
  <c r="AE39" i="3"/>
  <c r="W39" i="3"/>
  <c r="T39" i="3"/>
  <c r="R39" i="3"/>
  <c r="Q39" i="3"/>
  <c r="AF38" i="3"/>
  <c r="W38" i="3"/>
  <c r="T38" i="3"/>
  <c r="R38" i="3"/>
  <c r="Q38" i="3"/>
  <c r="C38" i="3"/>
  <c r="AE38" i="3" s="1"/>
  <c r="AF37" i="3"/>
  <c r="AE37" i="3"/>
  <c r="W37" i="3"/>
  <c r="T37" i="3"/>
  <c r="R37" i="3"/>
  <c r="Q37" i="3"/>
  <c r="AF36" i="3"/>
  <c r="W36" i="3"/>
  <c r="T36" i="3"/>
  <c r="R36" i="3"/>
  <c r="Q36" i="3"/>
  <c r="C36" i="3"/>
  <c r="AE36" i="3" s="1"/>
  <c r="AF35" i="3"/>
  <c r="AE35" i="3"/>
  <c r="W35" i="3"/>
  <c r="T35" i="3"/>
  <c r="R35" i="3"/>
  <c r="Q35" i="3"/>
  <c r="AF34" i="3"/>
  <c r="W34" i="3"/>
  <c r="T34" i="3"/>
  <c r="R34" i="3"/>
  <c r="Q34" i="3"/>
  <c r="C34" i="3"/>
  <c r="AE34" i="3" s="1"/>
  <c r="AF33" i="3"/>
  <c r="AE33" i="3"/>
  <c r="AB33" i="3"/>
  <c r="W33" i="3"/>
  <c r="T33" i="3"/>
  <c r="R33" i="3"/>
  <c r="Q33" i="3"/>
  <c r="AF32" i="3"/>
  <c r="AE32" i="3"/>
  <c r="AB32" i="3"/>
  <c r="W32" i="3"/>
  <c r="T32" i="3"/>
  <c r="R32" i="3"/>
  <c r="Q32" i="3"/>
  <c r="AB31" i="3"/>
  <c r="W31" i="3"/>
  <c r="T31" i="3"/>
  <c r="R31" i="3"/>
  <c r="Q31" i="3"/>
  <c r="C31" i="3"/>
  <c r="AA31" i="3" s="1"/>
  <c r="AB30" i="3"/>
  <c r="W30" i="3"/>
  <c r="T30" i="3"/>
  <c r="R30" i="3"/>
  <c r="Q30" i="3"/>
  <c r="C30" i="3"/>
  <c r="AA30" i="3" s="1"/>
  <c r="AB29" i="3"/>
  <c r="AA29" i="3"/>
  <c r="W29" i="3"/>
  <c r="T29" i="3"/>
  <c r="R29" i="3"/>
  <c r="Q29" i="3"/>
  <c r="AB28" i="3"/>
  <c r="W28" i="3"/>
  <c r="T28" i="3"/>
  <c r="R28" i="3"/>
  <c r="Q28" i="3"/>
  <c r="C28" i="3"/>
  <c r="AA28" i="3" s="1"/>
  <c r="AB27" i="3"/>
  <c r="W27" i="3"/>
  <c r="T27" i="3"/>
  <c r="R27" i="3"/>
  <c r="Q27" i="3"/>
  <c r="C27" i="3"/>
  <c r="AA27" i="3" s="1"/>
  <c r="AF26" i="3"/>
  <c r="AE26" i="3"/>
  <c r="W26" i="3"/>
  <c r="T26" i="3"/>
  <c r="R26" i="3"/>
  <c r="Q26" i="3"/>
  <c r="AF25" i="3"/>
  <c r="AE25" i="3"/>
  <c r="W25" i="3"/>
  <c r="T25" i="3"/>
  <c r="R25" i="3"/>
  <c r="Q25" i="3"/>
  <c r="AF24" i="3"/>
  <c r="AE24" i="3"/>
  <c r="W24" i="3"/>
  <c r="T24" i="3"/>
  <c r="R24" i="3"/>
  <c r="Q24" i="3"/>
  <c r="AF23" i="3"/>
  <c r="AE23" i="3"/>
  <c r="W23" i="3"/>
  <c r="T23" i="3"/>
  <c r="R23" i="3"/>
  <c r="Q23" i="3"/>
  <c r="AF22" i="3"/>
  <c r="AE22" i="3"/>
  <c r="W22" i="3"/>
  <c r="T22" i="3"/>
  <c r="R22" i="3"/>
  <c r="Q22" i="3"/>
  <c r="AF21" i="3"/>
  <c r="W21" i="3"/>
  <c r="T21" i="3"/>
  <c r="R21" i="3"/>
  <c r="Q21" i="3"/>
  <c r="C21" i="3"/>
  <c r="AE21" i="3" s="1"/>
  <c r="AF20" i="3"/>
  <c r="W20" i="3"/>
  <c r="T20" i="3"/>
  <c r="R20" i="3"/>
  <c r="Q20" i="3"/>
  <c r="C20" i="3"/>
  <c r="AE20" i="3" s="1"/>
  <c r="AF19" i="3"/>
  <c r="W19" i="3"/>
  <c r="T19" i="3"/>
  <c r="R19" i="3"/>
  <c r="Q19" i="3"/>
  <c r="C19" i="3"/>
  <c r="AE19" i="3" s="1"/>
  <c r="AF18" i="3"/>
  <c r="W18" i="3"/>
  <c r="T18" i="3"/>
  <c r="R18" i="3"/>
  <c r="Q18" i="3"/>
  <c r="C18" i="3"/>
  <c r="AE18" i="3" s="1"/>
  <c r="W17" i="3"/>
  <c r="T17" i="3"/>
  <c r="R17" i="3"/>
  <c r="Q17" i="3"/>
  <c r="AF16" i="3"/>
  <c r="AE16" i="3"/>
  <c r="T16" i="3"/>
  <c r="R16" i="3"/>
  <c r="Q16" i="3"/>
  <c r="V15" i="3"/>
  <c r="N15" i="3"/>
  <c r="AB14" i="3"/>
  <c r="AA14" i="3"/>
  <c r="T14" i="3"/>
  <c r="R14" i="3"/>
  <c r="Q14" i="3"/>
  <c r="AB13" i="3"/>
  <c r="T13" i="3"/>
  <c r="R13" i="3"/>
  <c r="Q13" i="3"/>
  <c r="C13" i="3"/>
  <c r="AA13" i="3" s="1"/>
  <c r="AB12" i="3"/>
  <c r="T12" i="3"/>
  <c r="R12" i="3"/>
  <c r="Q12" i="3"/>
  <c r="C12" i="3"/>
  <c r="AA12" i="3" s="1"/>
  <c r="AB11" i="3"/>
  <c r="T11" i="3"/>
  <c r="R11" i="3"/>
  <c r="Q11" i="3"/>
  <c r="C11" i="3"/>
  <c r="AA11" i="3" s="1"/>
  <c r="AF10" i="3"/>
  <c r="T10" i="3"/>
  <c r="R10" i="3"/>
  <c r="Q10" i="3"/>
  <c r="C10" i="3"/>
  <c r="AE10" i="3" s="1"/>
  <c r="AF9" i="3"/>
  <c r="AE9" i="3"/>
  <c r="W9" i="3"/>
  <c r="W15" i="3" s="1"/>
  <c r="T9" i="3"/>
  <c r="R9" i="3"/>
  <c r="Q9" i="3"/>
  <c r="AF41" i="4" l="1"/>
  <c r="X41" i="4"/>
  <c r="AF22" i="4"/>
  <c r="X22" i="4"/>
  <c r="AB11" i="4"/>
  <c r="X11" i="4"/>
  <c r="AB13" i="4"/>
  <c r="X13" i="4"/>
  <c r="AF19" i="4"/>
  <c r="X19" i="4"/>
  <c r="AF18" i="4"/>
  <c r="X18" i="4"/>
  <c r="AB31" i="4"/>
  <c r="X31" i="4"/>
  <c r="AF49" i="4"/>
  <c r="X49" i="4"/>
  <c r="AB27" i="4"/>
  <c r="X27" i="4"/>
  <c r="AB12" i="4"/>
  <c r="AB15" i="4" s="1"/>
  <c r="X12" i="4"/>
  <c r="AF36" i="4"/>
  <c r="X36" i="4"/>
  <c r="AE69" i="4"/>
  <c r="AE74" i="4" s="1"/>
  <c r="T65" i="4"/>
  <c r="AB50" i="4"/>
  <c r="R50" i="4"/>
  <c r="R15" i="4"/>
  <c r="W16" i="4"/>
  <c r="X16" i="4" s="1"/>
  <c r="R64" i="4"/>
  <c r="W15" i="4"/>
  <c r="P31" i="2"/>
  <c r="Q31" i="2" s="1"/>
  <c r="P29" i="2"/>
  <c r="Q29" i="2" s="1"/>
  <c r="U57" i="3"/>
  <c r="U47" i="3"/>
  <c r="V65" i="3"/>
  <c r="U32" i="3"/>
  <c r="S32" i="3" s="1"/>
  <c r="X32" i="3" s="1"/>
  <c r="AG32" i="3" s="1"/>
  <c r="U20" i="3"/>
  <c r="S20" i="3" s="1"/>
  <c r="X20" i="3" s="1"/>
  <c r="AG20" i="3" s="1"/>
  <c r="U52" i="3"/>
  <c r="S52" i="3" s="1"/>
  <c r="X52" i="3" s="1"/>
  <c r="AC52" i="3" s="1"/>
  <c r="U56" i="3"/>
  <c r="S56" i="3" s="1"/>
  <c r="X56" i="3" s="1"/>
  <c r="AC56" i="3" s="1"/>
  <c r="AF15" i="3"/>
  <c r="U23" i="3"/>
  <c r="S23" i="3" s="1"/>
  <c r="X23" i="3" s="1"/>
  <c r="AG23" i="3" s="1"/>
  <c r="U25" i="3"/>
  <c r="S25" i="3" s="1"/>
  <c r="X25" i="3" s="1"/>
  <c r="AG25" i="3" s="1"/>
  <c r="U37" i="3"/>
  <c r="U48" i="3"/>
  <c r="S48" i="3" s="1"/>
  <c r="X48" i="3" s="1"/>
  <c r="AC48" i="3" s="1"/>
  <c r="U10" i="3"/>
  <c r="S10" i="3" s="1"/>
  <c r="X10" i="3" s="1"/>
  <c r="AG10" i="3" s="1"/>
  <c r="U17" i="3"/>
  <c r="S17" i="3" s="1"/>
  <c r="X17" i="3" s="1"/>
  <c r="U31" i="3"/>
  <c r="S31" i="3" s="1"/>
  <c r="X31" i="3" s="1"/>
  <c r="AC31" i="3" s="1"/>
  <c r="U44" i="3"/>
  <c r="S44" i="3" s="1"/>
  <c r="X44" i="3" s="1"/>
  <c r="AC44" i="3" s="1"/>
  <c r="U45" i="3"/>
  <c r="S45" i="3" s="1"/>
  <c r="U60" i="3"/>
  <c r="S60" i="3" s="1"/>
  <c r="X60" i="3" s="1"/>
  <c r="AC60" i="3" s="1"/>
  <c r="U9" i="3"/>
  <c r="S9" i="3" s="1"/>
  <c r="AR9" i="3" s="1"/>
  <c r="U33" i="3"/>
  <c r="S33" i="3" s="1"/>
  <c r="X33" i="3" s="1"/>
  <c r="AG33" i="3" s="1"/>
  <c r="U38" i="3"/>
  <c r="S38" i="3" s="1"/>
  <c r="X38" i="3" s="1"/>
  <c r="AG38" i="3" s="1"/>
  <c r="U39" i="3"/>
  <c r="S39" i="3" s="1"/>
  <c r="X39" i="3" s="1"/>
  <c r="AG39" i="3" s="1"/>
  <c r="U14" i="3"/>
  <c r="S14" i="3" s="1"/>
  <c r="U18" i="3"/>
  <c r="S18" i="3" s="1"/>
  <c r="X18" i="3" s="1"/>
  <c r="AG18" i="3" s="1"/>
  <c r="U41" i="3"/>
  <c r="S41" i="3" s="1"/>
  <c r="X41" i="3" s="1"/>
  <c r="AG41" i="3" s="1"/>
  <c r="AB64" i="3"/>
  <c r="R64" i="3"/>
  <c r="R65" i="3" s="1"/>
  <c r="W64" i="3"/>
  <c r="U21" i="3"/>
  <c r="S21" i="3" s="1"/>
  <c r="X21" i="3" s="1"/>
  <c r="AG21" i="3" s="1"/>
  <c r="U30" i="3"/>
  <c r="S30" i="3" s="1"/>
  <c r="X30" i="3" s="1"/>
  <c r="AC30" i="3" s="1"/>
  <c r="U36" i="3"/>
  <c r="S36" i="3" s="1"/>
  <c r="X36" i="3" s="1"/>
  <c r="AG36" i="3" s="1"/>
  <c r="U46" i="3"/>
  <c r="S46" i="3" s="1"/>
  <c r="X46" i="3" s="1"/>
  <c r="AC46" i="3" s="1"/>
  <c r="U51" i="3"/>
  <c r="S51" i="3" s="1"/>
  <c r="X51" i="3" s="1"/>
  <c r="AC51" i="3" s="1"/>
  <c r="U54" i="3"/>
  <c r="S54" i="3" s="1"/>
  <c r="X54" i="3" s="1"/>
  <c r="AC54" i="3" s="1"/>
  <c r="U55" i="3"/>
  <c r="S55" i="3" s="1"/>
  <c r="X55" i="3" s="1"/>
  <c r="AC55" i="3" s="1"/>
  <c r="U12" i="3"/>
  <c r="S12" i="3" s="1"/>
  <c r="N65" i="3"/>
  <c r="AF71" i="3" s="1"/>
  <c r="U27" i="3"/>
  <c r="S27" i="3" s="1"/>
  <c r="X27" i="3" s="1"/>
  <c r="AC27" i="3" s="1"/>
  <c r="AB50" i="3"/>
  <c r="U29" i="3"/>
  <c r="S29" i="3" s="1"/>
  <c r="X29" i="3" s="1"/>
  <c r="AC29" i="3" s="1"/>
  <c r="U35" i="3"/>
  <c r="S35" i="3" s="1"/>
  <c r="X35" i="3" s="1"/>
  <c r="AG35" i="3" s="1"/>
  <c r="U40" i="3"/>
  <c r="S40" i="3" s="1"/>
  <c r="X40" i="3" s="1"/>
  <c r="AG40" i="3" s="1"/>
  <c r="U43" i="3"/>
  <c r="S43" i="3" s="1"/>
  <c r="X43" i="3" s="1"/>
  <c r="AG43" i="3" s="1"/>
  <c r="U53" i="3"/>
  <c r="S53" i="3" s="1"/>
  <c r="X53" i="3" s="1"/>
  <c r="AC53" i="3" s="1"/>
  <c r="U62" i="3"/>
  <c r="S62" i="3" s="1"/>
  <c r="X62" i="3" s="1"/>
  <c r="AC62" i="3" s="1"/>
  <c r="AB15" i="3"/>
  <c r="Q15" i="3"/>
  <c r="S37" i="3"/>
  <c r="X37" i="3" s="1"/>
  <c r="AG37" i="3" s="1"/>
  <c r="U11" i="3"/>
  <c r="S11" i="3" s="1"/>
  <c r="X11" i="3" s="1"/>
  <c r="AC11" i="3" s="1"/>
  <c r="U13" i="3"/>
  <c r="S13" i="3" s="1"/>
  <c r="U26" i="3"/>
  <c r="U19" i="3"/>
  <c r="U22" i="3"/>
  <c r="S22" i="3" s="1"/>
  <c r="U24" i="3"/>
  <c r="U28" i="3"/>
  <c r="S28" i="3" s="1"/>
  <c r="U34" i="3"/>
  <c r="S34" i="3" s="1"/>
  <c r="U42" i="3"/>
  <c r="Q64" i="3"/>
  <c r="S57" i="3"/>
  <c r="X57" i="3" s="1"/>
  <c r="AC57" i="3" s="1"/>
  <c r="Q50" i="3"/>
  <c r="U16" i="3"/>
  <c r="AF50" i="3"/>
  <c r="W50" i="3"/>
  <c r="S47" i="3"/>
  <c r="X47" i="3" s="1"/>
  <c r="AC47" i="3" s="1"/>
  <c r="U59" i="3"/>
  <c r="S59" i="3" s="1"/>
  <c r="X59" i="3" s="1"/>
  <c r="AC59" i="3" s="1"/>
  <c r="U61" i="3"/>
  <c r="S61" i="3" s="1"/>
  <c r="X61" i="3" s="1"/>
  <c r="AC61" i="3" s="1"/>
  <c r="U49" i="3"/>
  <c r="U63" i="3"/>
  <c r="S63" i="3" s="1"/>
  <c r="X63" i="3" s="1"/>
  <c r="AC63" i="3" s="1"/>
  <c r="U58" i="3"/>
  <c r="S58" i="3" s="1"/>
  <c r="X58" i="3" s="1"/>
  <c r="AC58" i="3" s="1"/>
  <c r="U58" i="2"/>
  <c r="T58" i="2"/>
  <c r="J56" i="2"/>
  <c r="S55" i="2"/>
  <c r="F55" i="2"/>
  <c r="O54" i="2"/>
  <c r="I54" i="2"/>
  <c r="M54" i="2" s="1"/>
  <c r="I53" i="2"/>
  <c r="K53" i="2" s="1"/>
  <c r="O52" i="2"/>
  <c r="I52" i="2"/>
  <c r="M52" i="2" s="1"/>
  <c r="O51" i="2"/>
  <c r="I51" i="2"/>
  <c r="K51" i="2" s="1"/>
  <c r="O50" i="2"/>
  <c r="I50" i="2"/>
  <c r="K50" i="2" s="1"/>
  <c r="O49" i="2"/>
  <c r="I49" i="2"/>
  <c r="M49" i="2" s="1"/>
  <c r="O48" i="2"/>
  <c r="I48" i="2"/>
  <c r="M48" i="2" s="1"/>
  <c r="O47" i="2"/>
  <c r="I47" i="2"/>
  <c r="M47" i="2" s="1"/>
  <c r="O46" i="2"/>
  <c r="I46" i="2"/>
  <c r="M46" i="2" s="1"/>
  <c r="O45" i="2"/>
  <c r="I45" i="2"/>
  <c r="S43" i="2"/>
  <c r="F43" i="2"/>
  <c r="O42" i="2"/>
  <c r="I42" i="2"/>
  <c r="O41" i="2"/>
  <c r="I40" i="2"/>
  <c r="M40" i="2" s="1"/>
  <c r="K40" i="2" s="1"/>
  <c r="Q39" i="2"/>
  <c r="O38" i="2"/>
  <c r="I38" i="2"/>
  <c r="O37" i="2"/>
  <c r="I37" i="2"/>
  <c r="O36" i="2"/>
  <c r="I36" i="2"/>
  <c r="M36" i="2" s="1"/>
  <c r="O35" i="2"/>
  <c r="I35" i="2"/>
  <c r="M35" i="2" s="1"/>
  <c r="O34" i="2"/>
  <c r="I34" i="2"/>
  <c r="M34" i="2" s="1"/>
  <c r="K34" i="2" s="1"/>
  <c r="O33" i="2"/>
  <c r="I33" i="2"/>
  <c r="M33" i="2" s="1"/>
  <c r="O32" i="2"/>
  <c r="I32" i="2"/>
  <c r="M32" i="2" s="1"/>
  <c r="O30" i="2"/>
  <c r="O28" i="2"/>
  <c r="I28" i="2"/>
  <c r="O27" i="2"/>
  <c r="I27" i="2"/>
  <c r="M27" i="2" s="1"/>
  <c r="K27" i="2" s="1"/>
  <c r="O26" i="2"/>
  <c r="I26" i="2"/>
  <c r="O25" i="2"/>
  <c r="I25" i="2"/>
  <c r="S23" i="2"/>
  <c r="F23" i="2"/>
  <c r="O22" i="2"/>
  <c r="I22" i="2"/>
  <c r="K22" i="2" s="1"/>
  <c r="O21" i="2"/>
  <c r="I21" i="2"/>
  <c r="M21" i="2" s="1"/>
  <c r="O20" i="2"/>
  <c r="I20" i="2"/>
  <c r="K20" i="2" s="1"/>
  <c r="O19" i="2"/>
  <c r="I19" i="2"/>
  <c r="M19" i="2" s="1"/>
  <c r="O18" i="2"/>
  <c r="I18" i="2"/>
  <c r="O17" i="2"/>
  <c r="I17" i="2"/>
  <c r="M25" i="2" l="1"/>
  <c r="I43" i="2"/>
  <c r="M17" i="2"/>
  <c r="K17" i="2" s="1"/>
  <c r="I23" i="2"/>
  <c r="M42" i="2"/>
  <c r="K42" i="2" s="1"/>
  <c r="P42" i="2" s="1"/>
  <c r="Q42" i="2" s="1"/>
  <c r="R65" i="4"/>
  <c r="W64" i="4"/>
  <c r="AB64" i="4"/>
  <c r="AB65" i="4" s="1"/>
  <c r="W50" i="4"/>
  <c r="AF16" i="4"/>
  <c r="AF50" i="4" s="1"/>
  <c r="AF65" i="4" s="1"/>
  <c r="M51" i="2"/>
  <c r="P51" i="2" s="1"/>
  <c r="K39" i="2"/>
  <c r="K21" i="2"/>
  <c r="P21" i="2" s="1"/>
  <c r="Q21" i="2" s="1"/>
  <c r="K48" i="2"/>
  <c r="P48" i="2" s="1"/>
  <c r="Q48" i="2" s="1"/>
  <c r="K49" i="2"/>
  <c r="M28" i="2"/>
  <c r="K28" i="2" s="1"/>
  <c r="P28" i="2" s="1"/>
  <c r="Q28" i="2" s="1"/>
  <c r="F56" i="2"/>
  <c r="T62" i="2" s="1"/>
  <c r="T65" i="2" s="1"/>
  <c r="O23" i="2"/>
  <c r="K19" i="2"/>
  <c r="P19" i="2" s="1"/>
  <c r="Q19" i="2" s="1"/>
  <c r="K45" i="2"/>
  <c r="P34" i="2"/>
  <c r="Q34" i="2" s="1"/>
  <c r="P40" i="2"/>
  <c r="Q40" i="2" s="1"/>
  <c r="M45" i="2"/>
  <c r="P45" i="2" s="1"/>
  <c r="K52" i="2"/>
  <c r="P52" i="2" s="1"/>
  <c r="Q52" i="2" s="1"/>
  <c r="O43" i="2"/>
  <c r="O55" i="2"/>
  <c r="P49" i="2"/>
  <c r="Q49" i="2" s="1"/>
  <c r="M26" i="2"/>
  <c r="K26" i="2" s="1"/>
  <c r="AF65" i="3"/>
  <c r="X14" i="3"/>
  <c r="AC14" i="3" s="1"/>
  <c r="AB65" i="3"/>
  <c r="X45" i="3"/>
  <c r="AC45" i="3" s="1"/>
  <c r="X12" i="3"/>
  <c r="AC12" i="3" s="1"/>
  <c r="X28" i="3"/>
  <c r="AC28" i="3" s="1"/>
  <c r="S19" i="3"/>
  <c r="X19" i="3" s="1"/>
  <c r="AG19" i="3" s="1"/>
  <c r="W65" i="3"/>
  <c r="X22" i="3"/>
  <c r="AG22" i="3" s="1"/>
  <c r="S42" i="3"/>
  <c r="X42" i="3" s="1"/>
  <c r="AG42" i="3" s="1"/>
  <c r="S24" i="3"/>
  <c r="X24" i="3" s="1"/>
  <c r="AG24" i="3" s="1"/>
  <c r="S26" i="3"/>
  <c r="X26" i="3" s="1"/>
  <c r="AG26" i="3" s="1"/>
  <c r="X13" i="3"/>
  <c r="AC13" i="3" s="1"/>
  <c r="X34" i="3"/>
  <c r="AG34" i="3" s="1"/>
  <c r="S15" i="3"/>
  <c r="S49" i="3"/>
  <c r="X49" i="3" s="1"/>
  <c r="AG49" i="3" s="1"/>
  <c r="U64" i="3"/>
  <c r="U50" i="3"/>
  <c r="S16" i="3"/>
  <c r="X16" i="3" s="1"/>
  <c r="X9" i="3"/>
  <c r="Q65" i="3"/>
  <c r="U15" i="3"/>
  <c r="P27" i="2"/>
  <c r="Q27" i="2" s="1"/>
  <c r="K25" i="2"/>
  <c r="P25" i="2" s="1"/>
  <c r="K32" i="2"/>
  <c r="P32" i="2" s="1"/>
  <c r="Q32" i="2" s="1"/>
  <c r="K33" i="2"/>
  <c r="P33" i="2" s="1"/>
  <c r="Q33" i="2" s="1"/>
  <c r="K35" i="2"/>
  <c r="P35" i="2" s="1"/>
  <c r="Q35" i="2" s="1"/>
  <c r="M18" i="2"/>
  <c r="M20" i="2"/>
  <c r="P20" i="2" s="1"/>
  <c r="Q20" i="2" s="1"/>
  <c r="M22" i="2"/>
  <c r="P22" i="2" s="1"/>
  <c r="Q22" i="2" s="1"/>
  <c r="K36" i="2"/>
  <c r="P36" i="2" s="1"/>
  <c r="Q36" i="2" s="1"/>
  <c r="M37" i="2"/>
  <c r="K37" i="2" s="1"/>
  <c r="M38" i="2"/>
  <c r="K38" i="2" s="1"/>
  <c r="P38" i="2" s="1"/>
  <c r="Q38" i="2" s="1"/>
  <c r="K41" i="2"/>
  <c r="Q41" i="2" s="1"/>
  <c r="M50" i="2"/>
  <c r="P50" i="2" s="1"/>
  <c r="Q50" i="2" s="1"/>
  <c r="M53" i="2"/>
  <c r="K54" i="2"/>
  <c r="P54" i="2" s="1"/>
  <c r="Q54" i="2" s="1"/>
  <c r="K46" i="2"/>
  <c r="P46" i="2" s="1"/>
  <c r="Q46" i="2" s="1"/>
  <c r="K47" i="2"/>
  <c r="P47" i="2" s="1"/>
  <c r="Q47" i="2" s="1"/>
  <c r="P17" i="2" l="1"/>
  <c r="Q17" i="2" s="1"/>
  <c r="Q45" i="2"/>
  <c r="Q51" i="2"/>
  <c r="K30" i="2"/>
  <c r="K43" i="2" s="1"/>
  <c r="M43" i="2"/>
  <c r="AF69" i="4"/>
  <c r="W65" i="4"/>
  <c r="AF71" i="4" s="1"/>
  <c r="AF69" i="3"/>
  <c r="AF74" i="3" s="1"/>
  <c r="M55" i="2"/>
  <c r="O56" i="2"/>
  <c r="P26" i="2"/>
  <c r="Q26" i="2" s="1"/>
  <c r="AC15" i="3"/>
  <c r="U65" i="3"/>
  <c r="AC50" i="3"/>
  <c r="X50" i="3"/>
  <c r="AG16" i="3"/>
  <c r="AG50" i="3" s="1"/>
  <c r="S64" i="3"/>
  <c r="S50" i="3"/>
  <c r="X15" i="3"/>
  <c r="AG9" i="3"/>
  <c r="AG15" i="3" s="1"/>
  <c r="Q25" i="2"/>
  <c r="P53" i="2"/>
  <c r="Q53" i="2" s="1"/>
  <c r="M23" i="2"/>
  <c r="K18" i="2"/>
  <c r="K23" i="2" s="1"/>
  <c r="K55" i="2"/>
  <c r="P37" i="2"/>
  <c r="Q37" i="2" s="1"/>
  <c r="P55" i="2" l="1"/>
  <c r="P30" i="2"/>
  <c r="Q30" i="2" s="1"/>
  <c r="AF74" i="4"/>
  <c r="S65" i="3"/>
  <c r="M56" i="2"/>
  <c r="AG65" i="3"/>
  <c r="X64" i="3"/>
  <c r="X65" i="3" s="1"/>
  <c r="AG71" i="3" s="1"/>
  <c r="AC64" i="3"/>
  <c r="AC65" i="3" s="1"/>
  <c r="Q55" i="2"/>
  <c r="K56" i="2"/>
  <c r="P18" i="2"/>
  <c r="P43" i="2" l="1"/>
  <c r="Q43" i="2" s="1"/>
  <c r="AG69" i="3"/>
  <c r="AG74" i="3" s="1"/>
  <c r="U55" i="2"/>
  <c r="T55" i="2"/>
  <c r="Q18" i="2"/>
  <c r="Q23" i="2" s="1"/>
  <c r="Q56" i="2" s="1"/>
  <c r="P23" i="2"/>
  <c r="P56" i="2" s="1"/>
  <c r="T43" i="2" l="1"/>
  <c r="U43" i="2"/>
  <c r="T23" i="2"/>
  <c r="U62" i="2"/>
  <c r="U65" i="2" s="1"/>
  <c r="U23" i="2"/>
</calcChain>
</file>

<file path=xl/sharedStrings.xml><?xml version="1.0" encoding="utf-8"?>
<sst xmlns="http://schemas.openxmlformats.org/spreadsheetml/2006/main" count="3434" uniqueCount="511">
  <si>
    <t xml:space="preserve">Расчеты к штатному расписанию на 1 сентября 2016 года </t>
  </si>
  <si>
    <t>по ГККП" Специальный детский сад   №52 г. Павлодара''</t>
  </si>
  <si>
    <t>Ф.И.О.</t>
  </si>
  <si>
    <t>Ставка</t>
  </si>
  <si>
    <t>Начислено</t>
  </si>
  <si>
    <t>№ п/п</t>
  </si>
  <si>
    <t>ФИО</t>
  </si>
  <si>
    <t>Должность</t>
  </si>
  <si>
    <t>Образование</t>
  </si>
  <si>
    <t>Стаж работы по специальности (лет,мес,дней) на 01.09.2016 г.</t>
  </si>
  <si>
    <t>Сетка стажа</t>
  </si>
  <si>
    <t>Количество работников,кому положена доплата в размере 25% сельских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</si>
  <si>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</si>
  <si>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</si>
  <si>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</si>
  <si>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</si>
  <si>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</si>
  <si>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</si>
  <si>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Коэффициент</t>
  </si>
  <si>
    <t>Должностной оклад</t>
  </si>
  <si>
    <t>Сельские 25%</t>
  </si>
  <si>
    <t>За особые условия труда 10%</t>
  </si>
  <si>
    <t>Надбавка к ставке</t>
  </si>
  <si>
    <t>Месячный фонд заработной платы</t>
  </si>
  <si>
    <t>%</t>
  </si>
  <si>
    <t>Сумма</t>
  </si>
  <si>
    <t>Юсупова А.Е.</t>
  </si>
  <si>
    <t>Руководитель</t>
  </si>
  <si>
    <t>высшее</t>
  </si>
  <si>
    <t>12л26д</t>
  </si>
  <si>
    <t>А</t>
  </si>
  <si>
    <t>А1</t>
  </si>
  <si>
    <t>Зам. Зав. по учебной работе</t>
  </si>
  <si>
    <t>Зам. зав. по хозяйственной работе</t>
  </si>
  <si>
    <t>Заведующий хозяйством</t>
  </si>
  <si>
    <t>ср.спец</t>
  </si>
  <si>
    <t>13л4м</t>
  </si>
  <si>
    <t>С</t>
  </si>
  <si>
    <t>Главный бухгалтер</t>
  </si>
  <si>
    <t>Сипий О.Ю.</t>
  </si>
  <si>
    <t>Бухгалтер</t>
  </si>
  <si>
    <t>до года</t>
  </si>
  <si>
    <t>ИТОГО ПО АУП</t>
  </si>
  <si>
    <t>ИТОГО ПО АУП (Тех.персонал)</t>
  </si>
  <si>
    <t>ИТОГО ПО АУП (Администрация)</t>
  </si>
  <si>
    <t>Утебаева А. К.</t>
  </si>
  <si>
    <t>Учитель каз.языка</t>
  </si>
  <si>
    <t>8л0м3дн</t>
  </si>
  <si>
    <t>В</t>
  </si>
  <si>
    <t>В4</t>
  </si>
  <si>
    <t>Сарбасова Г.К.</t>
  </si>
  <si>
    <t>Психолог</t>
  </si>
  <si>
    <t>2г7 м9 дн</t>
  </si>
  <si>
    <t>В2</t>
  </si>
  <si>
    <t>Логопед учитель</t>
  </si>
  <si>
    <t>Маульянова М. Ж.</t>
  </si>
  <si>
    <t>В3</t>
  </si>
  <si>
    <t>Жуманова М.С.</t>
  </si>
  <si>
    <t>Социальный педагог</t>
  </si>
  <si>
    <t>Мунсызова А. Е.</t>
  </si>
  <si>
    <t>Учитель-дефектолог</t>
  </si>
  <si>
    <t>Искакова С.К.</t>
  </si>
  <si>
    <t>Мухаметжанова Д.С.</t>
  </si>
  <si>
    <t>Методист</t>
  </si>
  <si>
    <t>9л.6м22дн</t>
  </si>
  <si>
    <t>1</t>
  </si>
  <si>
    <t>Врач</t>
  </si>
  <si>
    <t>21л6м17дн</t>
  </si>
  <si>
    <t>Физио врач</t>
  </si>
  <si>
    <t>20лет</t>
  </si>
  <si>
    <t>Тезекбаева Р.Т.</t>
  </si>
  <si>
    <t>Медицинская сестра</t>
  </si>
  <si>
    <t>Физиомедсестра</t>
  </si>
  <si>
    <t>Переводчик</t>
  </si>
  <si>
    <t>Оразалинов Б.Ж.</t>
  </si>
  <si>
    <t>Инструктор по плаванию</t>
  </si>
  <si>
    <t>9л6м</t>
  </si>
  <si>
    <t>Слуту Л.С.</t>
  </si>
  <si>
    <t>Воспитатель</t>
  </si>
  <si>
    <t>8л</t>
  </si>
  <si>
    <t>5г2м8дн</t>
  </si>
  <si>
    <t>Абдулова Е.В.</t>
  </si>
  <si>
    <t>25л1м4дн</t>
  </si>
  <si>
    <t>9л10м10дн</t>
  </si>
  <si>
    <t>Абыкеева К.К</t>
  </si>
  <si>
    <t>10л9м10дн</t>
  </si>
  <si>
    <t>14л10м29дн</t>
  </si>
  <si>
    <t>Жанзакова З. К.</t>
  </si>
  <si>
    <t>21г5м</t>
  </si>
  <si>
    <t>9л10м9дн</t>
  </si>
  <si>
    <t>1г9м28дн</t>
  </si>
  <si>
    <t>23г10м</t>
  </si>
  <si>
    <t>Спец. по обслуж.компьют.техн</t>
  </si>
  <si>
    <t>7л11м</t>
  </si>
  <si>
    <t>Д</t>
  </si>
  <si>
    <t>Пом.воспитателя</t>
  </si>
  <si>
    <t>7л9м</t>
  </si>
  <si>
    <t>Арынова С. Ж.</t>
  </si>
  <si>
    <t>3г3м</t>
  </si>
  <si>
    <t>Музыкальный руководитель</t>
  </si>
  <si>
    <t>24г7м12дн</t>
  </si>
  <si>
    <t>выс.</t>
  </si>
  <si>
    <t>ИТОГО ПО ОП</t>
  </si>
  <si>
    <t>ИТОГО ПО ОП (Тех.персонал)</t>
  </si>
  <si>
    <t>ИТОГО ПО ОП (Администрация)</t>
  </si>
  <si>
    <t>Мукушева Г. Х.</t>
  </si>
  <si>
    <t>Повар</t>
  </si>
  <si>
    <t>Токсамбаева К.К.</t>
  </si>
  <si>
    <t>Вакансия</t>
  </si>
  <si>
    <t>Подсобный рабочий</t>
  </si>
  <si>
    <t>Гребенева О .Я.</t>
  </si>
  <si>
    <t>Кастелянша</t>
  </si>
  <si>
    <t>Оператор стиральных машин</t>
  </si>
  <si>
    <t>Уборщик служебных помещений</t>
  </si>
  <si>
    <t>Рабочий по обслуживанию здания</t>
  </si>
  <si>
    <t>Слесарь-сантехник</t>
  </si>
  <si>
    <t>Жайлауов А. М.</t>
  </si>
  <si>
    <t>Электромонтер</t>
  </si>
  <si>
    <t>среднее</t>
  </si>
  <si>
    <t>Сторож</t>
  </si>
  <si>
    <t>Дворник</t>
  </si>
  <si>
    <t>ИТОГО ПО МОП</t>
  </si>
  <si>
    <t>ИТОГО ПО МОП (Тех.персонал)</t>
  </si>
  <si>
    <t>ИТОГО ПО МОП (Админстрация)</t>
  </si>
  <si>
    <t>ВСЕГО ПО АУП,УВП,МОП</t>
  </si>
  <si>
    <t>ВСЕГО ПО АУП,УВП,МОП(тех.персонал )</t>
  </si>
  <si>
    <t>ВСЕГО ПО АУП,УВП,МОП(Админстрация)</t>
  </si>
  <si>
    <t>Юсупова А.И.</t>
  </si>
  <si>
    <t>(подпись)</t>
  </si>
  <si>
    <t>(расшифровка подписи)</t>
  </si>
  <si>
    <t>Итого</t>
  </si>
  <si>
    <t>Ставок</t>
  </si>
  <si>
    <t>Контроль</t>
  </si>
  <si>
    <t>М.П.</t>
  </si>
  <si>
    <t>Разница</t>
  </si>
  <si>
    <t>Утверждаю:</t>
  </si>
  <si>
    <t>________________________________________________Юсупова А. Е.</t>
  </si>
  <si>
    <t xml:space="preserve">     (подпись) </t>
  </si>
  <si>
    <t>штат в количестве    48,25 единиц</t>
  </si>
  <si>
    <t>(сумма  заработной платы прописью)</t>
  </si>
  <si>
    <t>ШТАТНОЕ РАСПИСАНИЕ</t>
  </si>
  <si>
    <t xml:space="preserve"> ГККП" Специальный детский сад №52 г. Павлодара"</t>
  </si>
  <si>
    <t>(наименование учреждения)</t>
  </si>
  <si>
    <t>САД</t>
  </si>
  <si>
    <t>Наименование</t>
  </si>
  <si>
    <t>Кол-во штатных ед.</t>
  </si>
  <si>
    <t>Коэф.</t>
  </si>
  <si>
    <t>БДО (17697,00 тенге)</t>
  </si>
  <si>
    <t>Должностной оклад (в тенге)</t>
  </si>
  <si>
    <t xml:space="preserve">Доплаты и надбавки </t>
  </si>
  <si>
    <t>Месячный фонд заработной платы                 (в тенге)</t>
  </si>
  <si>
    <t>Годовой ФЗП                 (в тенге)</t>
  </si>
  <si>
    <t xml:space="preserve">Сумма </t>
  </si>
  <si>
    <t>АДМИНИСТРАТИВНО - УПРАВЛЕНЧЕСКИЙ ПЕРСОНАЛ</t>
  </si>
  <si>
    <t>Заведующая</t>
  </si>
  <si>
    <t>ОСНОВНОЙ ПЕРСОНАЛ</t>
  </si>
  <si>
    <t>Педагог- психолог</t>
  </si>
  <si>
    <t>Учитель-логопед</t>
  </si>
  <si>
    <t>Физио М/С</t>
  </si>
  <si>
    <t>Инструктор по физ.культуре</t>
  </si>
  <si>
    <t>ИТОГО ПО УВП:</t>
  </si>
  <si>
    <t>МЛАДШИЙ ОБСЛУЖИВАЮЩИЙ ПЕРСОНАЛ</t>
  </si>
  <si>
    <t>ВСЕГО:</t>
  </si>
  <si>
    <t>Ставки с расчётов</t>
  </si>
  <si>
    <t>Начислено с расчётов</t>
  </si>
  <si>
    <t>Сипий О. Ю.</t>
  </si>
  <si>
    <t>Ставки со штатки</t>
  </si>
  <si>
    <t>Начислено со штатки</t>
  </si>
  <si>
    <t>Между расчётами и штаткой</t>
  </si>
  <si>
    <t>Доирбаева Д.Е.</t>
  </si>
  <si>
    <t>2г10м20дн</t>
  </si>
  <si>
    <t>Сарсембаева С.З.</t>
  </si>
  <si>
    <t>сред-спец</t>
  </si>
  <si>
    <t>Капаева</t>
  </si>
  <si>
    <t>Тохтаралиева</t>
  </si>
  <si>
    <t>Искакова А.К.</t>
  </si>
  <si>
    <t>6л.</t>
  </si>
  <si>
    <t>Алтыбаева Р.Ш</t>
  </si>
  <si>
    <t>5л</t>
  </si>
  <si>
    <t xml:space="preserve">Толеуханов </t>
  </si>
  <si>
    <t>12 л.26 д.</t>
  </si>
  <si>
    <t>3 г.</t>
  </si>
  <si>
    <t>7 л.11 м.</t>
  </si>
  <si>
    <t>2 г.8 м.</t>
  </si>
  <si>
    <t>4 г. 1 м.</t>
  </si>
  <si>
    <t>21 г.7 м.</t>
  </si>
  <si>
    <t>9 г.6 м.</t>
  </si>
  <si>
    <t>20 лет</t>
  </si>
  <si>
    <t>21 лет</t>
  </si>
  <si>
    <t>5л.1м</t>
  </si>
  <si>
    <t>7 г.2 м.</t>
  </si>
  <si>
    <t>3г.11м.</t>
  </si>
  <si>
    <t>25л.2м.</t>
  </si>
  <si>
    <t>9л.11м.</t>
  </si>
  <si>
    <t>15 л.</t>
  </si>
  <si>
    <t>21г.4м</t>
  </si>
  <si>
    <t>9л.11 м.</t>
  </si>
  <si>
    <t>1г.11 м.</t>
  </si>
  <si>
    <t>23 г.11 м.</t>
  </si>
  <si>
    <t>7 л.3 м.</t>
  </si>
  <si>
    <t>8 л.7 м.</t>
  </si>
  <si>
    <t>3 г.11 м.</t>
  </si>
  <si>
    <t>24 г.8 мес.</t>
  </si>
  <si>
    <t xml:space="preserve">Байманбетова </t>
  </si>
  <si>
    <t>5л.8 мес</t>
  </si>
  <si>
    <t>7 л.</t>
  </si>
  <si>
    <t>Мунсызова А. Е. Тохтаралыева А.Е.</t>
  </si>
  <si>
    <t>11 л.2 м.</t>
  </si>
  <si>
    <t>Садымова М.Е.</t>
  </si>
  <si>
    <t>медсестра</t>
  </si>
  <si>
    <t>17 л.6 м.</t>
  </si>
  <si>
    <t>Расчет к штатному на 1 октября. (вновь прибывшие )</t>
  </si>
  <si>
    <t>3,39</t>
  </si>
  <si>
    <t>13 л.3 м</t>
  </si>
  <si>
    <r>
      <t>с месячным фондом заработной платы: 2 881 835 тенге</t>
    </r>
    <r>
      <rPr>
        <i/>
        <u/>
        <sz val="12"/>
        <rFont val="Times New Roman"/>
        <family val="1"/>
        <charset val="204"/>
      </rPr>
      <t xml:space="preserve"> 58 тиын</t>
    </r>
  </si>
  <si>
    <t xml:space="preserve">Два миллиона восемьсот восемдесят одна тысяча  восемьсот тридцать  пять тенге  58 тиын. </t>
  </si>
  <si>
    <t>Байманбетова А.Ш.</t>
  </si>
  <si>
    <t>Алтыбаева Р.Ш.</t>
  </si>
  <si>
    <t>Мауянова М. Ж.</t>
  </si>
  <si>
    <t>Капаева С.А.</t>
  </si>
  <si>
    <t>Инкарбаева М.Ж.</t>
  </si>
  <si>
    <t>Алинова А.М.</t>
  </si>
  <si>
    <t>Толеуханов С.А.</t>
  </si>
  <si>
    <t>25л.5м.</t>
  </si>
  <si>
    <t>11 л.6 м.</t>
  </si>
  <si>
    <t>10 л.2 м.</t>
  </si>
  <si>
    <t>4г.3м.</t>
  </si>
  <si>
    <t>21г.9м</t>
  </si>
  <si>
    <t>24 г.02 м.</t>
  </si>
  <si>
    <t>15 л.2 м</t>
  </si>
  <si>
    <t>7 г.5 м.</t>
  </si>
  <si>
    <t>12 л.8 м.</t>
  </si>
  <si>
    <t>24 г.11 мес.</t>
  </si>
  <si>
    <t>8 л.4 м.</t>
  </si>
  <si>
    <t>20 л.4 м</t>
  </si>
  <si>
    <t>21 г.10 м.</t>
  </si>
  <si>
    <t>5л.4м</t>
  </si>
  <si>
    <t>3 г.4 м.</t>
  </si>
  <si>
    <t>4 г. 4 м.</t>
  </si>
  <si>
    <t>1г.4 м.</t>
  </si>
  <si>
    <t>1 г.4 м.</t>
  </si>
  <si>
    <t>1 г.1 м.</t>
  </si>
  <si>
    <t>Мруалиева Т.</t>
  </si>
  <si>
    <t>20 л.4м.</t>
  </si>
  <si>
    <t>13 л.8 м</t>
  </si>
  <si>
    <t>9 л.</t>
  </si>
  <si>
    <t>4 г.2 м.</t>
  </si>
  <si>
    <t>6 л. 1 мес</t>
  </si>
  <si>
    <t>6 л.</t>
  </si>
  <si>
    <t>2г.01 м.</t>
  </si>
  <si>
    <t>10л.3 м.</t>
  </si>
  <si>
    <t xml:space="preserve">Расчеты к штатному расписанию на 1 января 2017 года </t>
  </si>
  <si>
    <t>Вакансия психолог</t>
  </si>
  <si>
    <r>
      <t>с месячным фондом заработной платы: 2 875 897 тенге</t>
    </r>
    <r>
      <rPr>
        <i/>
        <u/>
        <sz val="12"/>
        <rFont val="Times New Roman"/>
        <family val="1"/>
        <charset val="204"/>
      </rPr>
      <t xml:space="preserve"> 46 тиын</t>
    </r>
  </si>
  <si>
    <t xml:space="preserve">Два миллиона восемьсот семьдемят пять тысяч  восемьсот девяноста семь тенге  46 тиын. </t>
  </si>
  <si>
    <t>ШТАТНОЕ РАСПИСАНИЕ на 01 июня 2017</t>
  </si>
  <si>
    <t xml:space="preserve">Расчеты к штатному расписанию на 1 июня  2017 года </t>
  </si>
  <si>
    <t>Анафина Л.И</t>
  </si>
  <si>
    <t>25 г.05 мес.</t>
  </si>
  <si>
    <t>Смагулова М.А</t>
  </si>
  <si>
    <t xml:space="preserve">Байжуманова А.С </t>
  </si>
  <si>
    <t>Кусаинов Д</t>
  </si>
  <si>
    <t>1 л.6 м.</t>
  </si>
  <si>
    <t xml:space="preserve">Смагулова М.А </t>
  </si>
  <si>
    <t>штат в количестве    39 единиц</t>
  </si>
  <si>
    <t xml:space="preserve">Вакансия </t>
  </si>
  <si>
    <r>
      <t>с месячным фондом заработной платы: 2211477 тенге</t>
    </r>
    <r>
      <rPr>
        <i/>
        <u/>
        <sz val="12"/>
        <rFont val="Times New Roman"/>
        <family val="1"/>
        <charset val="204"/>
      </rPr>
      <t xml:space="preserve"> 00 тиын</t>
    </r>
  </si>
  <si>
    <t xml:space="preserve">Два миллиона двести одиннадцать тысяч четыреста семьдесят семь тенге 00 тиын </t>
  </si>
  <si>
    <t xml:space="preserve">Расчеты к штатному расписанию на 1 сентября 2017 года </t>
  </si>
  <si>
    <t>13 л. 4 м</t>
  </si>
  <si>
    <t>16 л 9 м</t>
  </si>
  <si>
    <t>Байгужинова С. К.</t>
  </si>
  <si>
    <t>Байжуманова А. С.</t>
  </si>
  <si>
    <t>Изаева Ж. Е.</t>
  </si>
  <si>
    <t>2 г.</t>
  </si>
  <si>
    <t>Ахметова Т. К.</t>
  </si>
  <si>
    <t>Быстрова Т. С.</t>
  </si>
  <si>
    <t>1 г 9 м</t>
  </si>
  <si>
    <t>Нургалиева Н. К.</t>
  </si>
  <si>
    <t>1 г</t>
  </si>
  <si>
    <t>22 г.6 м.</t>
  </si>
  <si>
    <t>22 лет</t>
  </si>
  <si>
    <t>Шалабаева О. Е.</t>
  </si>
  <si>
    <t>6 л.1м</t>
  </si>
  <si>
    <t>8 л. 2 м.</t>
  </si>
  <si>
    <t>Абзали Р.</t>
  </si>
  <si>
    <t>26л.1м.</t>
  </si>
  <si>
    <t>9л. 8 м.</t>
  </si>
  <si>
    <t>12 л.2 м.</t>
  </si>
  <si>
    <t>16 л.</t>
  </si>
  <si>
    <t>22 г.4м</t>
  </si>
  <si>
    <t>Алинова А. М.</t>
  </si>
  <si>
    <t>10 л. 11 м</t>
  </si>
  <si>
    <t>2 г 9 м</t>
  </si>
  <si>
    <t>Анафина Л. И.</t>
  </si>
  <si>
    <t>Кусаинов Д.</t>
  </si>
  <si>
    <t>3 г</t>
  </si>
  <si>
    <t>9 л 8 м</t>
  </si>
  <si>
    <t>Болатова Д.</t>
  </si>
  <si>
    <t>Джантлеуова Б.</t>
  </si>
  <si>
    <t>3 г 7 м</t>
  </si>
  <si>
    <t>Сазанбаева А. К.</t>
  </si>
  <si>
    <t>28 л 2 м</t>
  </si>
  <si>
    <t>17 л 6 м</t>
  </si>
  <si>
    <t>4 г 3 м</t>
  </si>
  <si>
    <t>Бесембаева Е. К.</t>
  </si>
  <si>
    <t>1 г 7 м</t>
  </si>
  <si>
    <t>Байманбетова А. Ш.</t>
  </si>
  <si>
    <t>Сучков Е. С.</t>
  </si>
  <si>
    <t>5 л 11 м</t>
  </si>
  <si>
    <t>2 г</t>
  </si>
  <si>
    <t>20 л 8 м</t>
  </si>
  <si>
    <t>13л</t>
  </si>
  <si>
    <t>Акимбекова У.</t>
  </si>
  <si>
    <t>Учитель англ. языка</t>
  </si>
  <si>
    <t>Учитель русск. языка</t>
  </si>
  <si>
    <t>2</t>
  </si>
  <si>
    <t>Секретарь</t>
  </si>
  <si>
    <t xml:space="preserve"> среднее</t>
  </si>
  <si>
    <t>Учитель каз. языка</t>
  </si>
  <si>
    <t>Инструктор по физической культуре</t>
  </si>
  <si>
    <t>Учитель логопед</t>
  </si>
  <si>
    <t>штат в количестве    48,87 единиц</t>
  </si>
  <si>
    <t>Утверждаю</t>
  </si>
  <si>
    <t>руководитель _________________________________________Юсупова А. Е.</t>
  </si>
  <si>
    <t xml:space="preserve">                                                                                       (подпись) </t>
  </si>
  <si>
    <t>по ГККП " Специальный детский сад № 52 города Павлодара''</t>
  </si>
  <si>
    <t>Юсупова А. Е.</t>
  </si>
  <si>
    <t>Коломыцева А. Ю.</t>
  </si>
  <si>
    <t>Абильдинова С. С.</t>
  </si>
  <si>
    <t>Тохтаралыева А. Е.</t>
  </si>
  <si>
    <t>Тезекбаева Р. Т.</t>
  </si>
  <si>
    <t>Оразалинов Б. Ж.</t>
  </si>
  <si>
    <t>Абдулова Е. В.</t>
  </si>
  <si>
    <t>Болпак У. Б.</t>
  </si>
  <si>
    <t>Абыкеева К. К.</t>
  </si>
  <si>
    <t>Рыскалиева Г. С.</t>
  </si>
  <si>
    <t>Молдабаева А. Д.</t>
  </si>
  <si>
    <t>Кабылдина Л. Ж.</t>
  </si>
  <si>
    <t>Сагимбаева Ж. Ж.</t>
  </si>
  <si>
    <t>Токсамбаева К. К.</t>
  </si>
  <si>
    <t xml:space="preserve"> ГККП" Специальный детский сад № 52 города Павлодара"</t>
  </si>
  <si>
    <t>Юсупова А. И.</t>
  </si>
  <si>
    <r>
      <t>с месячным фондом заработной платы: 2 937 703 тенге</t>
    </r>
    <r>
      <rPr>
        <i/>
        <u/>
        <sz val="12"/>
        <rFont val="Times New Roman"/>
        <family val="1"/>
        <charset val="204"/>
      </rPr>
      <t xml:space="preserve"> 92 тиын</t>
    </r>
  </si>
  <si>
    <t xml:space="preserve">Два миллиона девятьсот тридцать семь тысяч семьсот три тенге 92 тиын. </t>
  </si>
  <si>
    <t>Абуова С. А.</t>
  </si>
  <si>
    <t>Шерстобитова И. В.</t>
  </si>
  <si>
    <t>Есенова Т. Х.</t>
  </si>
  <si>
    <t>28 л 11 м</t>
  </si>
  <si>
    <t>17 л 4 м</t>
  </si>
  <si>
    <t>11 л</t>
  </si>
  <si>
    <t>14 л. 11 м</t>
  </si>
  <si>
    <t>ср. спец.</t>
  </si>
  <si>
    <t>13 л 4 мес</t>
  </si>
  <si>
    <t>14 л 2 м</t>
  </si>
  <si>
    <t>Жангабулова Ж. Е.</t>
  </si>
  <si>
    <t>Омарова А. К.</t>
  </si>
  <si>
    <t>сред. спец.</t>
  </si>
  <si>
    <t>06 л 01 м</t>
  </si>
  <si>
    <t>Д1</t>
  </si>
  <si>
    <t>Бекова Г. З.</t>
  </si>
  <si>
    <t>Сыздыкова М. К.</t>
  </si>
  <si>
    <t>Ибрагимова К. К.</t>
  </si>
  <si>
    <t>Смаилова Ж. К.</t>
  </si>
  <si>
    <t>Жолдина Б.</t>
  </si>
  <si>
    <t>Кударова К. М.</t>
  </si>
  <si>
    <t>электромонтер</t>
  </si>
  <si>
    <t xml:space="preserve"> ГККП" Специальный детский сад № 52 г. Павлодара"</t>
  </si>
  <si>
    <t>штат в количестве    48,96 единиц</t>
  </si>
  <si>
    <r>
      <t>с месячным фондом заработной платы: 3351790  тенге</t>
    </r>
    <r>
      <rPr>
        <i/>
        <u/>
        <sz val="12"/>
        <rFont val="Times New Roman"/>
        <family val="1"/>
        <charset val="204"/>
      </rPr>
      <t xml:space="preserve"> 74 тиын</t>
    </r>
  </si>
  <si>
    <t xml:space="preserve">Три миллиона триста пятьдесят одна тысяча семьсот девяносто тенге  74 тиын. </t>
  </si>
  <si>
    <t>4 г 09 м</t>
  </si>
  <si>
    <t>18 л 01 м</t>
  </si>
  <si>
    <t>2 г 04 м</t>
  </si>
  <si>
    <t xml:space="preserve">Маненов Ж. </t>
  </si>
  <si>
    <t>02 г 01 м</t>
  </si>
  <si>
    <t>Заведующий</t>
  </si>
  <si>
    <t>Стаж работы по специальности (лет,мес,дней) на 01.09.2019 г.</t>
  </si>
  <si>
    <t>27 л 11 м</t>
  </si>
  <si>
    <t>Заместитель заведующего по хозяйственной части</t>
  </si>
  <si>
    <t>29 л 2 м</t>
  </si>
  <si>
    <t>28 л 01 м</t>
  </si>
  <si>
    <t>14 л</t>
  </si>
  <si>
    <t>02 г 07 м</t>
  </si>
  <si>
    <t>24 л 04 м</t>
  </si>
  <si>
    <t>Каниева Б. Д.</t>
  </si>
  <si>
    <t>20 л 08 м</t>
  </si>
  <si>
    <t>04 г 11 м</t>
  </si>
  <si>
    <t>Омашева Л. К.</t>
  </si>
  <si>
    <t>09 л 04 м</t>
  </si>
  <si>
    <t>G</t>
  </si>
  <si>
    <t>10 л 02 м</t>
  </si>
  <si>
    <t>Логопед</t>
  </si>
  <si>
    <t>16 л 11 м</t>
  </si>
  <si>
    <t>Учитель казахского языка</t>
  </si>
  <si>
    <t>Учитель английского языка</t>
  </si>
  <si>
    <t>08 л 11 м</t>
  </si>
  <si>
    <t>Сейсепова А. Б.</t>
  </si>
  <si>
    <t>Учитель русского языка</t>
  </si>
  <si>
    <t>09 л 07 м</t>
  </si>
  <si>
    <t>Маханова Г. Е.</t>
  </si>
  <si>
    <t>07 л 06 м</t>
  </si>
  <si>
    <t>30 л 10 м</t>
  </si>
  <si>
    <t>21 г 03 м</t>
  </si>
  <si>
    <t>Омержанова М. А.</t>
  </si>
  <si>
    <t>Инкарбаева М. Ж.</t>
  </si>
  <si>
    <t>12 л 11 м</t>
  </si>
  <si>
    <t>Берекетова Д.</t>
  </si>
  <si>
    <t>07 л 07 м</t>
  </si>
  <si>
    <t>Педагог - психолог</t>
  </si>
  <si>
    <t>05 л</t>
  </si>
  <si>
    <t>Инструктор по физкультуре</t>
  </si>
  <si>
    <t>08 л 01 м</t>
  </si>
  <si>
    <t>Утебаева К. К.</t>
  </si>
  <si>
    <t>18 л 8 м</t>
  </si>
  <si>
    <t>Жумадилова М. С.</t>
  </si>
  <si>
    <t>03 г</t>
  </si>
  <si>
    <t>Нугманова Г. С.</t>
  </si>
  <si>
    <t>Медсестра</t>
  </si>
  <si>
    <t>Медсестра физио</t>
  </si>
  <si>
    <t>25 л 06 м</t>
  </si>
  <si>
    <t>41 л 04 м</t>
  </si>
  <si>
    <t>11 л 07 м</t>
  </si>
  <si>
    <t>07 л 04 м</t>
  </si>
  <si>
    <t>06 л 08 м</t>
  </si>
  <si>
    <t>06 л 03 м</t>
  </si>
  <si>
    <t>03 г 04 м</t>
  </si>
  <si>
    <t>03 г 10 м</t>
  </si>
  <si>
    <t>Сироткин С.</t>
  </si>
  <si>
    <t>Шумаков А.</t>
  </si>
  <si>
    <t>Учитель дефектолог</t>
  </si>
  <si>
    <t>0,063</t>
  </si>
  <si>
    <t>Арынова П. Т.</t>
  </si>
  <si>
    <t>23 г</t>
  </si>
  <si>
    <t>Жанарбаева А. Е.</t>
  </si>
  <si>
    <t>Врач психотерапевт</t>
  </si>
  <si>
    <t>24 г 06 м</t>
  </si>
  <si>
    <t>Нургазинова Б. К.</t>
  </si>
  <si>
    <t>11 л 11 м</t>
  </si>
  <si>
    <t>Титова Ю. Н.</t>
  </si>
  <si>
    <t>3 г 7м</t>
  </si>
  <si>
    <t>Даулетова Ж. Т.</t>
  </si>
  <si>
    <t>16 л 09 м</t>
  </si>
  <si>
    <t>Вайгант Н. Ю.</t>
  </si>
  <si>
    <t>17 л 02 м</t>
  </si>
  <si>
    <t>Пуртова Г. М.</t>
  </si>
  <si>
    <t>18 л 02 м</t>
  </si>
  <si>
    <t>методист</t>
  </si>
  <si>
    <t xml:space="preserve">Расчеты к штатному расписанию на 1 января 2020года </t>
  </si>
  <si>
    <t>Категория</t>
  </si>
  <si>
    <t>Статус работника</t>
  </si>
  <si>
    <t>нет</t>
  </si>
  <si>
    <t>Стаж работы по специальности (лет,мес,дней) на 01.01.2020 г.</t>
  </si>
  <si>
    <t>Суженова Ж.А.</t>
  </si>
  <si>
    <t>Мауянова М.Ж.</t>
  </si>
  <si>
    <t>б/к</t>
  </si>
  <si>
    <t>Тлеулесова А.Ж.</t>
  </si>
  <si>
    <t>Солтанхан А.</t>
  </si>
  <si>
    <t>Байгужинова С.К.</t>
  </si>
  <si>
    <t>29 л 02 м</t>
  </si>
  <si>
    <t>Вертлугова О.П.</t>
  </si>
  <si>
    <t>Вайгандт Н. Ю.</t>
  </si>
  <si>
    <t>3-1</t>
  </si>
  <si>
    <t>И.о.Руководителя</t>
  </si>
  <si>
    <t xml:space="preserve">Расчеты к штатному расписанию на 1 января 2021 года </t>
  </si>
  <si>
    <t>22 л 10 м</t>
  </si>
  <si>
    <t>Султан А.К.</t>
  </si>
  <si>
    <t>27 л 02 м</t>
  </si>
  <si>
    <t xml:space="preserve">02 г 05 м </t>
  </si>
  <si>
    <t>22 л 06 м</t>
  </si>
  <si>
    <t>29 л ,04 м.</t>
  </si>
  <si>
    <t>40 л, 04 м</t>
  </si>
  <si>
    <t>25 г 05 м</t>
  </si>
  <si>
    <t>10 л, 4 м</t>
  </si>
  <si>
    <t>15 л 05 м</t>
  </si>
  <si>
    <t>03 г 11 м</t>
  </si>
  <si>
    <t>25 л 08 м</t>
  </si>
  <si>
    <t>21 л 05 м</t>
  </si>
  <si>
    <t>06 г 03 м</t>
  </si>
  <si>
    <t>10 л 09 м</t>
  </si>
  <si>
    <t>18 л 05 м</t>
  </si>
  <si>
    <t>31 л 01 м</t>
  </si>
  <si>
    <t>12 л, 04 м</t>
  </si>
  <si>
    <t>10 л , 04 м</t>
  </si>
  <si>
    <t>11 л 00 м</t>
  </si>
  <si>
    <t>18 л 03 м</t>
  </si>
  <si>
    <t>04 л 08 м</t>
  </si>
  <si>
    <t>32 л 01 м</t>
  </si>
  <si>
    <t>22 г 07 м</t>
  </si>
  <si>
    <t>1 г, 04 м</t>
  </si>
  <si>
    <t>14 л 03 м</t>
  </si>
  <si>
    <t>09 л 01 м</t>
  </si>
  <si>
    <t xml:space="preserve">06 л,04         </t>
  </si>
  <si>
    <t>09 л, 04 м</t>
  </si>
  <si>
    <t>1 г, 08 м</t>
  </si>
  <si>
    <t>04 г 02 м</t>
  </si>
  <si>
    <t>04 г 04 м</t>
  </si>
  <si>
    <t>08 л 08 м</t>
  </si>
  <si>
    <t>42 л 09 м</t>
  </si>
  <si>
    <t>11 г 6 м</t>
  </si>
  <si>
    <t>Нурмагамбетова Л.С.</t>
  </si>
  <si>
    <t>33 г.03 м</t>
  </si>
  <si>
    <t>33 л 11 м</t>
  </si>
  <si>
    <t>1 г 07 м</t>
  </si>
  <si>
    <t>3 г.04 м</t>
  </si>
  <si>
    <t xml:space="preserve">   5 л.   04 м                          </t>
  </si>
  <si>
    <t>23 г. 05 м</t>
  </si>
  <si>
    <t>23 г. 00 м</t>
  </si>
  <si>
    <t xml:space="preserve">Надбавка педагогам 50 % </t>
  </si>
  <si>
    <t>Должностной оклад с 50 %</t>
  </si>
  <si>
    <t>по КГКП " Специальный детский сад № 52 города Павлодара''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</si>
</sst>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i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6">
    <xf numFmtId="0" fontId="0" fillId="0" borderId="0" xfId="0"/>
    <xf numFmtId="2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2" fontId="1" fillId="2" borderId="13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0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2" fontId="1" fillId="3" borderId="13" xfId="0" applyNumberFormat="1" applyFont="1" applyFill="1" applyBorder="1" applyAlignment="1">
      <alignment vertical="center" wrapText="1"/>
    </xf>
    <xf numFmtId="165" fontId="1" fillId="2" borderId="13" xfId="0" applyNumberFormat="1" applyFont="1" applyFill="1" applyBorder="1" applyAlignment="1">
      <alignment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2" fontId="1" fillId="0" borderId="13" xfId="0" applyNumberFormat="1" applyFont="1" applyFill="1" applyBorder="1" applyAlignment="1">
      <alignment vertical="center" wrapText="1"/>
    </xf>
    <xf numFmtId="165" fontId="1" fillId="0" borderId="13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10" fontId="4" fillId="2" borderId="16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6" fillId="2" borderId="16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9" fontId="1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 applyProtection="1">
      <alignment horizontal="center"/>
      <protection locked="0"/>
    </xf>
    <xf numFmtId="2" fontId="4" fillId="3" borderId="17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vertical="center" wrapText="1"/>
    </xf>
    <xf numFmtId="165" fontId="4" fillId="2" borderId="13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10" fontId="4" fillId="0" borderId="1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10" fontId="6" fillId="0" borderId="16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9" fontId="1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5" fontId="1" fillId="3" borderId="17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wrapText="1"/>
    </xf>
    <xf numFmtId="0" fontId="9" fillId="2" borderId="0" xfId="0" applyFont="1" applyFill="1"/>
    <xf numFmtId="165" fontId="9" fillId="0" borderId="0" xfId="0" applyNumberFormat="1" applyFont="1" applyFill="1"/>
    <xf numFmtId="0" fontId="9" fillId="0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Protection="1">
      <protection locked="0"/>
    </xf>
    <xf numFmtId="0" fontId="8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 applyProtection="1">
      <alignment horizontal="center"/>
      <protection locked="0"/>
    </xf>
    <xf numFmtId="0" fontId="15" fillId="0" borderId="21" xfId="0" applyFont="1" applyFill="1" applyBorder="1" applyAlignment="1">
      <alignment horizontal="center"/>
    </xf>
    <xf numFmtId="0" fontId="15" fillId="0" borderId="21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9" fillId="0" borderId="22" xfId="0" applyFont="1" applyFill="1" applyBorder="1" applyAlignment="1" applyProtection="1">
      <alignment horizontal="center"/>
    </xf>
    <xf numFmtId="0" fontId="9" fillId="2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 applyProtection="1">
      <alignment horizontal="center"/>
      <protection locked="0"/>
    </xf>
    <xf numFmtId="2" fontId="9" fillId="0" borderId="13" xfId="0" applyNumberFormat="1" applyFont="1" applyFill="1" applyBorder="1" applyAlignment="1" applyProtection="1">
      <alignment horizontal="center"/>
      <protection locked="0"/>
    </xf>
    <xf numFmtId="2" fontId="9" fillId="0" borderId="13" xfId="0" applyNumberFormat="1" applyFont="1" applyFill="1" applyBorder="1" applyAlignment="1" applyProtection="1">
      <alignment horizontal="center"/>
    </xf>
    <xf numFmtId="9" fontId="9" fillId="0" borderId="13" xfId="0" applyNumberFormat="1" applyFont="1" applyFill="1" applyBorder="1" applyAlignment="1" applyProtection="1">
      <alignment horizontal="center"/>
      <protection locked="0"/>
    </xf>
    <xf numFmtId="2" fontId="9" fillId="2" borderId="13" xfId="0" applyNumberFormat="1" applyFont="1" applyFill="1" applyBorder="1" applyAlignment="1" applyProtection="1">
      <alignment horizontal="center"/>
    </xf>
    <xf numFmtId="2" fontId="9" fillId="0" borderId="23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 applyBorder="1"/>
    <xf numFmtId="2" fontId="9" fillId="0" borderId="0" xfId="0" applyNumberFormat="1" applyFont="1" applyFill="1"/>
    <xf numFmtId="0" fontId="9" fillId="0" borderId="14" xfId="0" applyFont="1" applyFill="1" applyBorder="1" applyAlignment="1">
      <alignment vertical="center" wrapText="1"/>
    </xf>
    <xf numFmtId="0" fontId="9" fillId="0" borderId="0" xfId="0" applyFont="1" applyFill="1" applyBorder="1"/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/>
      <protection locked="0"/>
    </xf>
    <xf numFmtId="165" fontId="8" fillId="3" borderId="13" xfId="0" applyNumberFormat="1" applyFont="1" applyFill="1" applyBorder="1" applyAlignment="1" applyProtection="1">
      <alignment horizontal="center"/>
    </xf>
    <xf numFmtId="10" fontId="8" fillId="3" borderId="13" xfId="0" applyNumberFormat="1" applyFont="1" applyFill="1" applyBorder="1" applyAlignment="1" applyProtection="1">
      <alignment horizontal="center"/>
    </xf>
    <xf numFmtId="165" fontId="8" fillId="3" borderId="23" xfId="0" applyNumberFormat="1" applyFont="1" applyFill="1" applyBorder="1" applyAlignment="1" applyProtection="1">
      <alignment horizontal="center"/>
    </xf>
    <xf numFmtId="0" fontId="8" fillId="0" borderId="0" xfId="0" applyFont="1" applyFill="1" applyAlignment="1">
      <alignment horizontal="center"/>
    </xf>
    <xf numFmtId="2" fontId="9" fillId="0" borderId="7" xfId="0" applyNumberFormat="1" applyFont="1" applyFill="1" applyBorder="1" applyAlignment="1">
      <alignment horizontal="center"/>
    </xf>
    <xf numFmtId="165" fontId="8" fillId="0" borderId="12" xfId="0" applyNumberFormat="1" applyFont="1" applyFill="1" applyBorder="1" applyAlignment="1" applyProtection="1">
      <alignment horizont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2" fontId="15" fillId="0" borderId="13" xfId="0" applyNumberFormat="1" applyFont="1" applyFill="1" applyBorder="1" applyAlignment="1" applyProtection="1">
      <alignment horizontal="center"/>
      <protection locked="0"/>
    </xf>
    <xf numFmtId="2" fontId="15" fillId="0" borderId="13" xfId="0" applyNumberFormat="1" applyFont="1" applyFill="1" applyBorder="1" applyAlignment="1" applyProtection="1">
      <alignment horizontal="center"/>
    </xf>
    <xf numFmtId="2" fontId="15" fillId="2" borderId="13" xfId="0" applyNumberFormat="1" applyFont="1" applyFill="1" applyBorder="1" applyAlignment="1" applyProtection="1">
      <alignment horizontal="center"/>
    </xf>
    <xf numFmtId="0" fontId="9" fillId="0" borderId="23" xfId="0" applyFont="1" applyFill="1" applyBorder="1" applyAlignment="1" applyProtection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Border="1" applyAlignment="1">
      <alignment horizontal="center"/>
    </xf>
    <xf numFmtId="49" fontId="9" fillId="0" borderId="13" xfId="0" applyNumberFormat="1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Border="1" applyAlignment="1" applyProtection="1">
      <alignment horizontal="center"/>
      <protection locked="0"/>
    </xf>
    <xf numFmtId="165" fontId="8" fillId="3" borderId="1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0" fontId="8" fillId="0" borderId="2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2" fontId="15" fillId="0" borderId="13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16" fillId="0" borderId="13" xfId="0" applyNumberFormat="1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center"/>
    </xf>
    <xf numFmtId="165" fontId="8" fillId="3" borderId="1" xfId="0" applyNumberFormat="1" applyFont="1" applyFill="1" applyBorder="1" applyAlignment="1" applyProtection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 applyProtection="1">
      <alignment horizontal="center" vertical="center" wrapText="1"/>
    </xf>
    <xf numFmtId="165" fontId="8" fillId="3" borderId="29" xfId="0" applyNumberFormat="1" applyFont="1" applyFill="1" applyBorder="1" applyAlignment="1" applyProtection="1">
      <alignment horizontal="center" vertical="center" wrapText="1"/>
    </xf>
    <xf numFmtId="2" fontId="8" fillId="0" borderId="7" xfId="0" applyNumberFormat="1" applyFont="1" applyFill="1" applyBorder="1" applyAlignment="1" applyProtection="1">
      <alignment horizontal="center"/>
    </xf>
    <xf numFmtId="165" fontId="8" fillId="0" borderId="12" xfId="0" applyNumberFormat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65" fontId="8" fillId="4" borderId="12" xfId="0" applyNumberFormat="1" applyFont="1" applyFill="1" applyBorder="1" applyAlignment="1">
      <alignment horizontal="center"/>
    </xf>
    <xf numFmtId="165" fontId="8" fillId="4" borderId="12" xfId="0" applyNumberFormat="1" applyFont="1" applyFill="1" applyBorder="1" applyAlignment="1"/>
    <xf numFmtId="10" fontId="8" fillId="4" borderId="1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0" borderId="13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165" fontId="9" fillId="2" borderId="0" xfId="0" applyNumberFormat="1" applyFont="1" applyFill="1" applyAlignment="1">
      <alignment horizontal="right"/>
    </xf>
    <xf numFmtId="165" fontId="9" fillId="0" borderId="13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/>
    <xf numFmtId="165" fontId="9" fillId="0" borderId="0" xfId="0" applyNumberFormat="1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2" fontId="17" fillId="2" borderId="13" xfId="0" applyNumberFormat="1" applyFont="1" applyFill="1" applyBorder="1" applyAlignment="1">
      <alignment horizontal="center" vertical="center" wrapText="1"/>
    </xf>
    <xf numFmtId="10" fontId="4" fillId="2" borderId="13" xfId="0" applyNumberFormat="1" applyFont="1" applyFill="1" applyBorder="1" applyAlignment="1">
      <alignment horizontal="center" vertical="center" wrapText="1"/>
    </xf>
    <xf numFmtId="10" fontId="6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2" fontId="18" fillId="2" borderId="1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 applyProtection="1">
      <alignment horizontal="center"/>
      <protection locked="0"/>
    </xf>
    <xf numFmtId="1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2" fontId="21" fillId="2" borderId="1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4" fillId="2" borderId="2" xfId="0" applyNumberFormat="1" applyFont="1" applyFill="1" applyBorder="1" applyAlignment="1" applyProtection="1">
      <alignment horizontal="left" vertical="center"/>
      <protection locked="0"/>
    </xf>
    <xf numFmtId="1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5" fontId="3" fillId="2" borderId="17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Border="1" applyAlignment="1">
      <alignment vertical="center" wrapText="1"/>
    </xf>
    <xf numFmtId="2" fontId="22" fillId="2" borderId="17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 wrapText="1"/>
    </xf>
    <xf numFmtId="10" fontId="4" fillId="2" borderId="3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10" fontId="6" fillId="2" borderId="30" xfId="0" applyNumberFormat="1" applyFont="1" applyFill="1" applyBorder="1" applyAlignment="1">
      <alignment horizontal="center" vertical="center" wrapText="1"/>
    </xf>
    <xf numFmtId="9" fontId="1" fillId="2" borderId="2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8" fillId="2" borderId="20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 applyProtection="1">
      <alignment horizontal="center"/>
      <protection locked="0"/>
    </xf>
    <xf numFmtId="0" fontId="15" fillId="2" borderId="21" xfId="0" applyFont="1" applyFill="1" applyBorder="1" applyAlignment="1">
      <alignment horizontal="center"/>
    </xf>
    <xf numFmtId="0" fontId="15" fillId="2" borderId="21" xfId="0" applyFont="1" applyFill="1" applyBorder="1" applyAlignment="1" applyProtection="1">
      <alignment horizontal="center"/>
    </xf>
    <xf numFmtId="0" fontId="9" fillId="2" borderId="22" xfId="0" applyFont="1" applyFill="1" applyBorder="1" applyAlignment="1" applyProtection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 applyProtection="1">
      <alignment horizontal="center"/>
      <protection locked="0"/>
    </xf>
    <xf numFmtId="9" fontId="9" fillId="2" borderId="13" xfId="0" applyNumberFormat="1" applyFont="1" applyFill="1" applyBorder="1" applyAlignment="1" applyProtection="1">
      <alignment horizontal="center"/>
      <protection locked="0"/>
    </xf>
    <xf numFmtId="2" fontId="9" fillId="2" borderId="23" xfId="0" applyNumberFormat="1" applyFont="1" applyFill="1" applyBorder="1" applyAlignment="1" applyProtection="1">
      <alignment horizontal="center"/>
    </xf>
    <xf numFmtId="2" fontId="9" fillId="2" borderId="0" xfId="0" applyNumberFormat="1" applyFont="1" applyFill="1"/>
    <xf numFmtId="0" fontId="9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 applyProtection="1">
      <alignment horizontal="center"/>
      <protection locked="0"/>
    </xf>
    <xf numFmtId="165" fontId="8" fillId="2" borderId="13" xfId="0" applyNumberFormat="1" applyFont="1" applyFill="1" applyBorder="1" applyAlignment="1" applyProtection="1">
      <alignment horizontal="center"/>
    </xf>
    <xf numFmtId="10" fontId="8" fillId="2" borderId="13" xfId="0" applyNumberFormat="1" applyFont="1" applyFill="1" applyBorder="1" applyAlignment="1" applyProtection="1">
      <alignment horizontal="center"/>
    </xf>
    <xf numFmtId="165" fontId="8" fillId="2" borderId="23" xfId="0" applyNumberFormat="1" applyFont="1" applyFill="1" applyBorder="1" applyAlignment="1" applyProtection="1">
      <alignment horizontal="center"/>
    </xf>
    <xf numFmtId="0" fontId="8" fillId="2" borderId="0" xfId="0" applyFont="1" applyFill="1" applyAlignment="1">
      <alignment horizontal="center"/>
    </xf>
    <xf numFmtId="0" fontId="8" fillId="2" borderId="2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2" fontId="15" fillId="2" borderId="13" xfId="0" applyNumberFormat="1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</xf>
    <xf numFmtId="2" fontId="9" fillId="2" borderId="0" xfId="0" applyNumberFormat="1" applyFont="1" applyFill="1" applyBorder="1" applyAlignment="1" applyProtection="1">
      <alignment horizontal="center"/>
      <protection locked="0"/>
    </xf>
    <xf numFmtId="165" fontId="8" fillId="2" borderId="1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2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2" fontId="15" fillId="2" borderId="13" xfId="0" applyNumberFormat="1" applyFont="1" applyFill="1" applyBorder="1" applyAlignment="1">
      <alignment horizontal="center"/>
    </xf>
    <xf numFmtId="0" fontId="9" fillId="2" borderId="25" xfId="0" applyFont="1" applyFill="1" applyBorder="1" applyAlignment="1">
      <alignment vertical="center" wrapText="1"/>
    </xf>
    <xf numFmtId="9" fontId="16" fillId="2" borderId="13" xfId="0" applyNumberFormat="1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center"/>
    </xf>
    <xf numFmtId="165" fontId="8" fillId="2" borderId="1" xfId="0" applyNumberFormat="1" applyFont="1" applyFill="1" applyBorder="1" applyAlignment="1" applyProtection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 applyProtection="1">
      <alignment horizontal="center" vertical="center" wrapText="1"/>
    </xf>
    <xf numFmtId="165" fontId="8" fillId="2" borderId="29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center"/>
    </xf>
    <xf numFmtId="165" fontId="8" fillId="2" borderId="12" xfId="0" applyNumberFormat="1" applyFont="1" applyFill="1" applyBorder="1" applyAlignment="1"/>
    <xf numFmtId="10" fontId="8" fillId="2" borderId="12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166" fontId="8" fillId="2" borderId="12" xfId="0" applyNumberFormat="1" applyFont="1" applyFill="1" applyBorder="1" applyAlignment="1">
      <alignment horizontal="center"/>
    </xf>
    <xf numFmtId="0" fontId="9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5" fontId="8" fillId="3" borderId="1" xfId="0" applyNumberFormat="1" applyFont="1" applyFill="1" applyBorder="1" applyAlignment="1" applyProtection="1">
      <alignment vertical="center" wrapText="1"/>
    </xf>
    <xf numFmtId="165" fontId="8" fillId="3" borderId="29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165" fontId="1" fillId="3" borderId="17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5" fontId="3" fillId="4" borderId="17" xfId="0" applyNumberFormat="1" applyFont="1" applyFill="1" applyBorder="1" applyAlignment="1">
      <alignment vertical="center" wrapText="1"/>
    </xf>
    <xf numFmtId="165" fontId="1" fillId="3" borderId="6" xfId="0" applyNumberFormat="1" applyFont="1" applyFill="1" applyBorder="1" applyAlignment="1">
      <alignment vertical="center" wrapText="1"/>
    </xf>
    <xf numFmtId="165" fontId="3" fillId="4" borderId="6" xfId="0" applyNumberFormat="1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vertical="center" wrapText="1"/>
    </xf>
    <xf numFmtId="10" fontId="5" fillId="2" borderId="16" xfId="0" applyNumberFormat="1" applyFont="1" applyFill="1" applyBorder="1" applyAlignment="1">
      <alignment horizontal="center" vertical="center" wrapText="1"/>
    </xf>
    <xf numFmtId="2" fontId="23" fillId="2" borderId="2" xfId="0" applyNumberFormat="1" applyFont="1" applyFill="1" applyBorder="1" applyAlignment="1">
      <alignment horizontal="center" vertical="center" wrapText="1"/>
    </xf>
    <xf numFmtId="10" fontId="24" fillId="2" borderId="16" xfId="0" applyNumberFormat="1" applyFont="1" applyFill="1" applyBorder="1" applyAlignment="1">
      <alignment horizontal="center" vertical="center" wrapText="1"/>
    </xf>
    <xf numFmtId="9" fontId="23" fillId="2" borderId="2" xfId="0" applyNumberFormat="1" applyFont="1" applyFill="1" applyBorder="1" applyAlignment="1">
      <alignment horizontal="center" vertical="center" wrapText="1"/>
    </xf>
    <xf numFmtId="2" fontId="23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vertical="center" wrapText="1"/>
    </xf>
    <xf numFmtId="0" fontId="5" fillId="2" borderId="13" xfId="0" applyNumberFormat="1" applyFont="1" applyFill="1" applyBorder="1" applyAlignment="1" applyProtection="1">
      <alignment vertical="center"/>
      <protection locked="0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1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 wrapText="1"/>
    </xf>
    <xf numFmtId="2" fontId="23" fillId="3" borderId="17" xfId="0" applyNumberFormat="1" applyFont="1" applyFill="1" applyBorder="1" applyAlignment="1">
      <alignment horizontal="center" vertical="center" wrapText="1"/>
    </xf>
    <xf numFmtId="2" fontId="23" fillId="3" borderId="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10" fontId="24" fillId="0" borderId="16" xfId="0" applyNumberFormat="1" applyFont="1" applyFill="1" applyBorder="1" applyAlignment="1">
      <alignment horizontal="center" vertical="center" wrapText="1"/>
    </xf>
    <xf numFmtId="9" fontId="23" fillId="0" borderId="13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10" fontId="5" fillId="2" borderId="13" xfId="0" applyNumberFormat="1" applyFont="1" applyFill="1" applyBorder="1" applyAlignment="1">
      <alignment horizontal="center" vertical="center" wrapText="1"/>
    </xf>
    <xf numFmtId="10" fontId="24" fillId="2" borderId="13" xfId="0" applyNumberFormat="1" applyFont="1" applyFill="1" applyBorder="1" applyAlignment="1">
      <alignment horizontal="center" vertical="center" wrapText="1"/>
    </xf>
    <xf numFmtId="9" fontId="23" fillId="2" borderId="13" xfId="0" applyNumberFormat="1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10" fontId="5" fillId="0" borderId="13" xfId="0" applyNumberFormat="1" applyFont="1" applyFill="1" applyBorder="1" applyAlignment="1">
      <alignment horizontal="center" vertical="center" wrapText="1"/>
    </xf>
    <xf numFmtId="10" fontId="24" fillId="0" borderId="13" xfId="0" applyNumberFormat="1" applyFont="1" applyFill="1" applyBorder="1" applyAlignment="1">
      <alignment horizontal="center" vertical="center" wrapText="1"/>
    </xf>
    <xf numFmtId="10" fontId="4" fillId="0" borderId="13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4" fillId="3" borderId="13" xfId="0" applyNumberFormat="1" applyFont="1" applyFill="1" applyBorder="1" applyAlignment="1" applyProtection="1">
      <alignment vertical="center"/>
      <protection locked="0"/>
    </xf>
    <xf numFmtId="0" fontId="4" fillId="3" borderId="2" xfId="0" applyNumberFormat="1" applyFont="1" applyFill="1" applyBorder="1" applyAlignment="1" applyProtection="1">
      <alignment horizontal="left" vertical="center"/>
      <protection locked="0"/>
    </xf>
    <xf numFmtId="0" fontId="5" fillId="3" borderId="13" xfId="0" applyNumberFormat="1" applyFont="1" applyFill="1" applyBorder="1" applyAlignment="1" applyProtection="1">
      <alignment horizontal="left" vertical="center"/>
      <protection locked="0"/>
    </xf>
    <xf numFmtId="0" fontId="4" fillId="3" borderId="13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left" vertical="center"/>
      <protection locked="0"/>
    </xf>
    <xf numFmtId="0" fontId="5" fillId="3" borderId="13" xfId="0" applyNumberFormat="1" applyFont="1" applyFill="1" applyBorder="1" applyAlignment="1" applyProtection="1">
      <alignment horizontal="left" vertical="center"/>
      <protection locked="0"/>
    </xf>
    <xf numFmtId="0" fontId="18" fillId="3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horizontal="left" vertical="center" wrapText="1"/>
    </xf>
    <xf numFmtId="165" fontId="18" fillId="2" borderId="13" xfId="0" applyNumberFormat="1" applyFont="1" applyFill="1" applyBorder="1" applyAlignment="1">
      <alignment horizontal="center" vertical="center" wrapText="1"/>
    </xf>
    <xf numFmtId="10" fontId="18" fillId="2" borderId="13" xfId="0" applyNumberFormat="1" applyFont="1" applyFill="1" applyBorder="1" applyAlignment="1">
      <alignment horizontal="center" vertical="center" wrapText="1"/>
    </xf>
    <xf numFmtId="10" fontId="26" fillId="2" borderId="13" xfId="0" applyNumberFormat="1" applyFont="1" applyFill="1" applyBorder="1" applyAlignment="1">
      <alignment horizontal="center" vertical="center" wrapText="1"/>
    </xf>
    <xf numFmtId="9" fontId="17" fillId="2" borderId="13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2" fontId="17" fillId="2" borderId="0" xfId="0" applyNumberFormat="1" applyFont="1" applyFill="1" applyBorder="1" applyAlignment="1">
      <alignment vertical="center" wrapText="1"/>
    </xf>
    <xf numFmtId="0" fontId="4" fillId="3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wrapText="1"/>
      <protection locked="0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14" fillId="0" borderId="18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right" wrapText="1" inden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2" xfId="0" applyNumberFormat="1" applyFont="1" applyFill="1" applyBorder="1" applyAlignment="1" applyProtection="1">
      <alignment horizontal="left" vertical="center"/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345/Desktop/&#1064;&#1058;&#1040;&#1058;&#1050;&#1040;%202016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Ы по действующей системе"/>
      <sheetName val="РАСЧЁТЫ по действующей системе"/>
      <sheetName val="ШТАТЫ по НОВОЙ МОДЕЛИ"/>
      <sheetName val="РАСЧЁТЫ по НОВОЙ МОДЕЛИ"/>
      <sheetName val="ШТАТЫ по действующей систем 16"/>
      <sheetName val="РАСЧЁТЫ по действующей сист16"/>
      <sheetName val="ШТАТЫ по НОВОЙ МОДЕЛИ 16"/>
      <sheetName val="расчеты на сентябрь (2)"/>
      <sheetName val="расчеты на сентябрь"/>
      <sheetName val=" расчеты2016 (2)"/>
      <sheetName val=" расчеты2016"/>
      <sheetName val="РАСЧЁТЫ по НОВОЙ МОДЕЛИ16 (2)"/>
    </sheetNames>
    <sheetDataSet>
      <sheetData sheetId="0" refreshError="1"/>
      <sheetData sheetId="1" refreshError="1">
        <row r="15">
          <cell r="W15">
            <v>129895.99</v>
          </cell>
        </row>
        <row r="92">
          <cell r="W92">
            <v>1704283.07</v>
          </cell>
        </row>
        <row r="121">
          <cell r="W121">
            <v>381923.53</v>
          </cell>
        </row>
        <row r="128">
          <cell r="AE128">
            <v>48.25</v>
          </cell>
          <cell r="AF128">
            <v>2216102.59</v>
          </cell>
        </row>
      </sheetData>
      <sheetData sheetId="2" refreshError="1"/>
      <sheetData sheetId="3" refreshError="1"/>
      <sheetData sheetId="4" refreshError="1"/>
      <sheetData sheetId="5" refreshError="1">
        <row r="10">
          <cell r="B10">
            <v>0</v>
          </cell>
        </row>
        <row r="11">
          <cell r="B11">
            <v>0</v>
          </cell>
        </row>
        <row r="12">
          <cell r="B12" t="str">
            <v>Саттарова Г.С.</v>
          </cell>
        </row>
        <row r="13">
          <cell r="B13">
            <v>0</v>
          </cell>
        </row>
        <row r="19">
          <cell r="B19" t="str">
            <v>Зикен Н.</v>
          </cell>
        </row>
        <row r="21">
          <cell r="B21" t="str">
            <v>Коломыцева А.Ю.</v>
          </cell>
        </row>
        <row r="22">
          <cell r="B22" t="str">
            <v>Тулепберген Ф.</v>
          </cell>
        </row>
        <row r="23">
          <cell r="B23" t="str">
            <v>Абильдинова С.С.</v>
          </cell>
        </row>
        <row r="31">
          <cell r="B31" t="str">
            <v>Жанарбаева А.Е.</v>
          </cell>
        </row>
        <row r="32">
          <cell r="B32" t="str">
            <v>Арынова  П.Т.</v>
          </cell>
        </row>
        <row r="34">
          <cell r="B34" t="str">
            <v>Мруалина Т.</v>
          </cell>
        </row>
        <row r="38">
          <cell r="B38" t="str">
            <v>Жуманова М.С.</v>
          </cell>
        </row>
        <row r="43">
          <cell r="B43" t="str">
            <v>Жампеисова М.Б.</v>
          </cell>
        </row>
        <row r="45">
          <cell r="B45" t="str">
            <v>Болпак  У.Б.</v>
          </cell>
        </row>
        <row r="47">
          <cell r="B47" t="str">
            <v>Рыскалиева Г.С.</v>
          </cell>
        </row>
        <row r="50">
          <cell r="B50" t="str">
            <v>Инкарбаева М.Ж.</v>
          </cell>
        </row>
        <row r="51">
          <cell r="B51" t="str">
            <v>Молдабаева А.Д.</v>
          </cell>
        </row>
        <row r="52">
          <cell r="B52" t="str">
            <v>Манарова Р.О.</v>
          </cell>
        </row>
        <row r="73">
          <cell r="B73" t="str">
            <v>Никифоров Л.</v>
          </cell>
        </row>
        <row r="76">
          <cell r="B76" t="str">
            <v>Кабылдина Л.Ж.</v>
          </cell>
        </row>
        <row r="77">
          <cell r="B77" t="str">
            <v>Сагимбаева Ж.Ж.</v>
          </cell>
        </row>
        <row r="79">
          <cell r="B79" t="str">
            <v>Арынова Б.</v>
          </cell>
        </row>
        <row r="80">
          <cell r="B80" t="str">
            <v>Ибрагимова К.К.</v>
          </cell>
        </row>
        <row r="90">
          <cell r="B90" t="str">
            <v>Аллахвердиева И.В.</v>
          </cell>
        </row>
        <row r="101">
          <cell r="B101" t="str">
            <v>Бесенбаева Е.К.</v>
          </cell>
        </row>
        <row r="113">
          <cell r="B113" t="str">
            <v>Бадажков В.</v>
          </cell>
        </row>
        <row r="114">
          <cell r="B114" t="str">
            <v>Парада В.</v>
          </cell>
        </row>
        <row r="117">
          <cell r="B117" t="str">
            <v>Абуталипов Н.</v>
          </cell>
        </row>
        <row r="118">
          <cell r="B118" t="str">
            <v>Медиев М.</v>
          </cell>
        </row>
        <row r="119">
          <cell r="B119" t="str">
            <v>Уралтаев С.</v>
          </cell>
        </row>
        <row r="120">
          <cell r="B120" t="str">
            <v>Сипатов А.М.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0"/>
  <sheetViews>
    <sheetView topLeftCell="A18" workbookViewId="0">
      <selection activeCell="V31" sqref="V31"/>
    </sheetView>
  </sheetViews>
  <sheetFormatPr defaultRowHeight="12.75" x14ac:dyDescent="0.25"/>
  <cols>
    <col min="1" max="1" width="9.140625" style="200"/>
    <col min="2" max="2" width="3.7109375" style="37" customWidth="1"/>
    <col min="3" max="3" width="19.85546875" style="37" customWidth="1"/>
    <col min="4" max="4" width="20.140625" style="36" customWidth="1"/>
    <col min="5" max="5" width="11.140625" style="37" customWidth="1"/>
    <col min="6" max="6" width="12.28515625" style="37" customWidth="1"/>
    <col min="7" max="7" width="6.28515625" style="37" customWidth="1"/>
    <col min="8" max="8" width="4.42578125" style="37" hidden="1" customWidth="1"/>
    <col min="9" max="9" width="7" style="37" customWidth="1"/>
    <col min="10" max="10" width="6" style="37" customWidth="1"/>
    <col min="11" max="11" width="6.85546875" style="37" customWidth="1"/>
    <col min="12" max="12" width="5.140625" style="37" customWidth="1"/>
    <col min="13" max="13" width="9" style="37" customWidth="1"/>
    <col min="14" max="14" width="7.7109375" style="37" customWidth="1"/>
    <col min="15" max="15" width="6.28515625" style="36" customWidth="1"/>
    <col min="16" max="16" width="6.7109375" style="37" customWidth="1"/>
    <col min="17" max="17" width="13.85546875" style="37" customWidth="1"/>
    <col min="18" max="18" width="0.85546875" style="37" hidden="1" customWidth="1"/>
    <col min="19" max="19" width="0.42578125" style="37" hidden="1" customWidth="1"/>
    <col min="20" max="20" width="8.28515625" style="37" customWidth="1"/>
    <col min="21" max="21" width="13.7109375" style="37" customWidth="1"/>
    <col min="22" max="22" width="9.42578125" style="37" customWidth="1"/>
    <col min="23" max="23" width="16.42578125" style="37" customWidth="1"/>
    <col min="24" max="24" width="14.5703125" style="37" customWidth="1"/>
    <col min="25" max="26" width="9.140625" style="37" customWidth="1"/>
    <col min="27" max="27" width="41.85546875" style="2" customWidth="1"/>
    <col min="28" max="28" width="9.28515625" style="2" bestFit="1" customWidth="1"/>
    <col min="29" max="29" width="14" style="2" customWidth="1"/>
    <col min="30" max="30" width="9.140625" style="2"/>
    <col min="31" max="31" width="41.42578125" style="2" customWidth="1"/>
    <col min="32" max="32" width="9.28515625" style="2" bestFit="1" customWidth="1"/>
    <col min="33" max="33" width="13.7109375" style="2" customWidth="1"/>
    <col min="34" max="34" width="9.140625" style="37"/>
    <col min="35" max="35" width="11.7109375" style="37" bestFit="1" customWidth="1"/>
    <col min="36" max="36" width="9.140625" style="37"/>
    <col min="37" max="42" width="9.140625" style="37" customWidth="1"/>
    <col min="43" max="43" width="11.28515625" style="37" bestFit="1" customWidth="1"/>
    <col min="44" max="16384" width="9.140625" style="37"/>
  </cols>
  <sheetData>
    <row r="1" spans="1:44" ht="9.75" customHeight="1" x14ac:dyDescent="0.25">
      <c r="V1" s="1"/>
    </row>
    <row r="2" spans="1:44" ht="16.5" customHeight="1" x14ac:dyDescent="0.25">
      <c r="B2" s="467" t="s">
        <v>0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</row>
    <row r="3" spans="1:44" ht="13.5" customHeight="1" x14ac:dyDescent="0.25">
      <c r="B3" s="468" t="s">
        <v>1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AA3" s="37"/>
      <c r="AB3" s="37"/>
      <c r="AC3" s="37"/>
      <c r="AD3" s="37"/>
      <c r="AE3" s="37"/>
      <c r="AF3" s="37"/>
      <c r="AG3" s="37"/>
    </row>
    <row r="4" spans="1:44" ht="13.5" customHeight="1" x14ac:dyDescent="0.25">
      <c r="O4" s="37"/>
    </row>
    <row r="5" spans="1:44" ht="13.5" customHeight="1" x14ac:dyDescent="0.25">
      <c r="O5" s="37"/>
      <c r="T5" s="469"/>
      <c r="U5" s="469"/>
      <c r="AA5" s="470" t="s">
        <v>2</v>
      </c>
      <c r="AB5" s="470" t="s">
        <v>3</v>
      </c>
      <c r="AC5" s="470" t="s">
        <v>4</v>
      </c>
      <c r="AD5" s="36"/>
      <c r="AE5" s="470" t="s">
        <v>2</v>
      </c>
      <c r="AF5" s="470" t="s">
        <v>3</v>
      </c>
      <c r="AG5" s="470" t="s">
        <v>4</v>
      </c>
      <c r="AH5" s="36"/>
      <c r="AI5" s="36"/>
      <c r="AJ5" s="36"/>
    </row>
    <row r="6" spans="1:44" ht="13.5" customHeight="1" thickBot="1" x14ac:dyDescent="0.3">
      <c r="O6" s="37"/>
      <c r="AA6" s="471"/>
      <c r="AB6" s="471"/>
      <c r="AC6" s="471"/>
      <c r="AE6" s="471"/>
      <c r="AF6" s="471"/>
      <c r="AG6" s="471"/>
      <c r="AH6" s="36"/>
      <c r="AI6" s="36"/>
      <c r="AJ6" s="36"/>
    </row>
    <row r="7" spans="1:44" s="36" customFormat="1" ht="41.25" customHeight="1" thickBot="1" x14ac:dyDescent="0.3">
      <c r="A7" s="199"/>
      <c r="B7" s="472" t="s">
        <v>5</v>
      </c>
      <c r="C7" s="472" t="s">
        <v>6</v>
      </c>
      <c r="D7" s="472" t="s">
        <v>7</v>
      </c>
      <c r="E7" s="472" t="s">
        <v>8</v>
      </c>
      <c r="F7" s="472" t="s">
        <v>9</v>
      </c>
      <c r="G7" s="474" t="s">
        <v>10</v>
      </c>
      <c r="H7" s="474" t="s">
        <v>11</v>
      </c>
      <c r="I7" s="474" t="s">
        <v>12</v>
      </c>
      <c r="J7" s="476" t="s">
        <v>13</v>
      </c>
      <c r="K7" s="476" t="s">
        <v>14</v>
      </c>
      <c r="L7" s="476" t="s">
        <v>15</v>
      </c>
      <c r="M7" s="472" t="s">
        <v>16</v>
      </c>
      <c r="N7" s="472" t="s">
        <v>17</v>
      </c>
      <c r="O7" s="472" t="s">
        <v>10</v>
      </c>
      <c r="P7" s="472" t="s">
        <v>18</v>
      </c>
      <c r="Q7" s="472" t="s">
        <v>19</v>
      </c>
      <c r="R7" s="490" t="s">
        <v>20</v>
      </c>
      <c r="S7" s="492"/>
      <c r="T7" s="493" t="s">
        <v>21</v>
      </c>
      <c r="U7" s="494"/>
      <c r="V7" s="490" t="s">
        <v>22</v>
      </c>
      <c r="W7" s="491"/>
      <c r="X7" s="472" t="s">
        <v>23</v>
      </c>
      <c r="AA7" s="470" t="s">
        <v>2</v>
      </c>
      <c r="AB7" s="470" t="s">
        <v>3</v>
      </c>
      <c r="AC7" s="470" t="s">
        <v>4</v>
      </c>
      <c r="AD7" s="3"/>
      <c r="AE7" s="470" t="s">
        <v>2</v>
      </c>
      <c r="AF7" s="470" t="s">
        <v>3</v>
      </c>
      <c r="AG7" s="470" t="s">
        <v>4</v>
      </c>
      <c r="AH7" s="37"/>
      <c r="AI7" s="37"/>
      <c r="AJ7" s="37"/>
    </row>
    <row r="8" spans="1:44" s="36" customFormat="1" ht="94.5" customHeight="1" thickBot="1" x14ac:dyDescent="0.3">
      <c r="A8" s="199"/>
      <c r="B8" s="473"/>
      <c r="C8" s="473"/>
      <c r="D8" s="473"/>
      <c r="E8" s="473"/>
      <c r="F8" s="473"/>
      <c r="G8" s="475"/>
      <c r="H8" s="475"/>
      <c r="I8" s="475"/>
      <c r="J8" s="477"/>
      <c r="K8" s="477"/>
      <c r="L8" s="477"/>
      <c r="M8" s="473"/>
      <c r="N8" s="473"/>
      <c r="O8" s="473"/>
      <c r="P8" s="473"/>
      <c r="Q8" s="473"/>
      <c r="R8" s="41" t="s">
        <v>24</v>
      </c>
      <c r="S8" s="41" t="s">
        <v>25</v>
      </c>
      <c r="T8" s="41" t="s">
        <v>24</v>
      </c>
      <c r="U8" s="41" t="s">
        <v>25</v>
      </c>
      <c r="V8" s="41" t="s">
        <v>24</v>
      </c>
      <c r="W8" s="41" t="s">
        <v>25</v>
      </c>
      <c r="X8" s="473"/>
      <c r="AA8" s="471"/>
      <c r="AB8" s="471"/>
      <c r="AC8" s="471"/>
      <c r="AD8" s="2"/>
      <c r="AE8" s="471"/>
      <c r="AF8" s="471"/>
      <c r="AG8" s="471"/>
      <c r="AH8" s="37"/>
      <c r="AI8" s="37"/>
      <c r="AJ8" s="37"/>
    </row>
    <row r="9" spans="1:44" s="6" customFormat="1" ht="15" customHeight="1" x14ac:dyDescent="0.25">
      <c r="B9" s="4">
        <v>1</v>
      </c>
      <c r="C9" s="42" t="s">
        <v>26</v>
      </c>
      <c r="D9" s="43" t="s">
        <v>27</v>
      </c>
      <c r="E9" s="4" t="s">
        <v>28</v>
      </c>
      <c r="F9" s="44" t="s">
        <v>29</v>
      </c>
      <c r="G9" s="45"/>
      <c r="H9" s="46"/>
      <c r="I9" s="34">
        <v>1</v>
      </c>
      <c r="J9" s="47" t="s">
        <v>30</v>
      </c>
      <c r="K9" s="47" t="s">
        <v>31</v>
      </c>
      <c r="L9" s="5">
        <v>3</v>
      </c>
      <c r="M9" s="48">
        <v>17697</v>
      </c>
      <c r="N9" s="48">
        <v>1</v>
      </c>
      <c r="O9" s="48"/>
      <c r="P9" s="4">
        <v>4.9400000000000004</v>
      </c>
      <c r="Q9" s="48">
        <f>P9*M9</f>
        <v>87423.180000000008</v>
      </c>
      <c r="R9" s="49">
        <f>IF(H9&gt;0,25%,0)</f>
        <v>0</v>
      </c>
      <c r="S9" s="50">
        <f t="shared" ref="S9:S14" si="0">ROUND((Q9+U9)*R9,2)</f>
        <v>0</v>
      </c>
      <c r="T9" s="51">
        <f t="shared" ref="T9:T14" si="1">IF(I9&gt;0,10%,0)</f>
        <v>0.1</v>
      </c>
      <c r="U9" s="50">
        <f t="shared" ref="U9:U14" si="2">ROUND(Q9*T9*N9,2)</f>
        <v>8742.32</v>
      </c>
      <c r="V9" s="52">
        <v>0.3</v>
      </c>
      <c r="W9" s="53">
        <f t="shared" ref="W9" si="3">M9*V9*N9</f>
        <v>5309.0999999999995</v>
      </c>
      <c r="X9" s="53">
        <f t="shared" ref="X9:X42" si="4">ROUND(Q9*N9+U9+S9+W9,2)</f>
        <v>101474.6</v>
      </c>
      <c r="AA9" s="7"/>
      <c r="AB9" s="8"/>
      <c r="AC9" s="8"/>
      <c r="AD9" s="9"/>
      <c r="AE9" s="7" t="str">
        <f>C7:C9</f>
        <v>Юсупова А.Е.</v>
      </c>
      <c r="AF9" s="8">
        <f>N9</f>
        <v>1</v>
      </c>
      <c r="AG9" s="8">
        <f>X9</f>
        <v>101474.6</v>
      </c>
      <c r="AQ9" s="10"/>
      <c r="AR9" s="11">
        <f>Q9+U9+S9+W9</f>
        <v>101474.6</v>
      </c>
    </row>
    <row r="10" spans="1:44" s="6" customFormat="1" ht="15" hidden="1" customHeight="1" x14ac:dyDescent="0.25">
      <c r="B10" s="4">
        <v>2</v>
      </c>
      <c r="C10" s="42">
        <f>'[1]РАСЧЁТЫ по действующей сист16'!B10</f>
        <v>0</v>
      </c>
      <c r="D10" s="43" t="s">
        <v>32</v>
      </c>
      <c r="E10" s="4"/>
      <c r="F10" s="44"/>
      <c r="G10" s="44"/>
      <c r="H10" s="54"/>
      <c r="I10" s="54"/>
      <c r="J10" s="47"/>
      <c r="K10" s="4"/>
      <c r="L10" s="5">
        <v>3</v>
      </c>
      <c r="M10" s="48">
        <v>17697</v>
      </c>
      <c r="N10" s="48"/>
      <c r="O10" s="48"/>
      <c r="P10" s="48"/>
      <c r="Q10" s="48">
        <f>P10*M10</f>
        <v>0</v>
      </c>
      <c r="R10" s="49">
        <f t="shared" ref="R10:R49" si="5">IF(H10&gt;0,25%,0)</f>
        <v>0</v>
      </c>
      <c r="S10" s="50">
        <f t="shared" si="0"/>
        <v>0</v>
      </c>
      <c r="T10" s="51">
        <f t="shared" si="1"/>
        <v>0</v>
      </c>
      <c r="U10" s="50">
        <f t="shared" si="2"/>
        <v>0</v>
      </c>
      <c r="V10" s="55"/>
      <c r="W10" s="53"/>
      <c r="X10" s="53">
        <f t="shared" si="4"/>
        <v>0</v>
      </c>
      <c r="AA10" s="7"/>
      <c r="AB10" s="8"/>
      <c r="AC10" s="8"/>
      <c r="AD10" s="9"/>
      <c r="AE10" s="7">
        <f>C8:C10</f>
        <v>0</v>
      </c>
      <c r="AF10" s="8">
        <f>N10</f>
        <v>0</v>
      </c>
      <c r="AG10" s="8">
        <f>X10</f>
        <v>0</v>
      </c>
    </row>
    <row r="11" spans="1:44" s="6" customFormat="1" ht="15" hidden="1" customHeight="1" x14ac:dyDescent="0.25">
      <c r="B11" s="4">
        <v>3</v>
      </c>
      <c r="C11" s="42">
        <f>'[1]РАСЧЁТЫ по действующей сист16'!B11</f>
        <v>0</v>
      </c>
      <c r="D11" s="43" t="s">
        <v>33</v>
      </c>
      <c r="E11" s="4"/>
      <c r="F11" s="4"/>
      <c r="G11" s="4"/>
      <c r="H11" s="4"/>
      <c r="I11" s="4"/>
      <c r="J11" s="12"/>
      <c r="K11" s="12"/>
      <c r="L11" s="5">
        <v>3</v>
      </c>
      <c r="M11" s="48">
        <v>17697</v>
      </c>
      <c r="N11" s="48"/>
      <c r="O11" s="48"/>
      <c r="P11" s="4"/>
      <c r="Q11" s="48">
        <f>M11*P11</f>
        <v>0</v>
      </c>
      <c r="R11" s="49">
        <f t="shared" si="5"/>
        <v>0</v>
      </c>
      <c r="S11" s="50">
        <f t="shared" si="0"/>
        <v>0</v>
      </c>
      <c r="T11" s="51">
        <f t="shared" si="1"/>
        <v>0</v>
      </c>
      <c r="U11" s="50">
        <f t="shared" si="2"/>
        <v>0</v>
      </c>
      <c r="V11" s="55"/>
      <c r="W11" s="53"/>
      <c r="X11" s="53">
        <f t="shared" si="4"/>
        <v>0</v>
      </c>
      <c r="AA11" s="7">
        <f>C11</f>
        <v>0</v>
      </c>
      <c r="AB11" s="8">
        <f>N11</f>
        <v>0</v>
      </c>
      <c r="AC11" s="8">
        <f>X11</f>
        <v>0</v>
      </c>
      <c r="AD11" s="13"/>
      <c r="AE11" s="7"/>
      <c r="AF11" s="8"/>
      <c r="AG11" s="8"/>
    </row>
    <row r="12" spans="1:44" s="6" customFormat="1" ht="27" customHeight="1" x14ac:dyDescent="0.25">
      <c r="B12" s="4">
        <v>4</v>
      </c>
      <c r="C12" s="42" t="str">
        <f>'[1]РАСЧЁТЫ по действующей сист16'!B12</f>
        <v>Саттарова Г.С.</v>
      </c>
      <c r="D12" s="43" t="s">
        <v>34</v>
      </c>
      <c r="E12" s="4" t="s">
        <v>35</v>
      </c>
      <c r="F12" s="4" t="s">
        <v>36</v>
      </c>
      <c r="G12" s="4"/>
      <c r="H12" s="4"/>
      <c r="I12" s="4">
        <v>1</v>
      </c>
      <c r="J12" s="4"/>
      <c r="K12" s="4" t="s">
        <v>37</v>
      </c>
      <c r="L12" s="5">
        <v>3</v>
      </c>
      <c r="M12" s="48">
        <v>17697</v>
      </c>
      <c r="N12" s="48">
        <v>1</v>
      </c>
      <c r="O12" s="48"/>
      <c r="P12" s="48">
        <v>2.4</v>
      </c>
      <c r="Q12" s="48">
        <f>M12*P12</f>
        <v>42472.799999999996</v>
      </c>
      <c r="R12" s="49">
        <f t="shared" si="5"/>
        <v>0</v>
      </c>
      <c r="S12" s="50">
        <f t="shared" si="0"/>
        <v>0</v>
      </c>
      <c r="T12" s="51">
        <f t="shared" si="1"/>
        <v>0.1</v>
      </c>
      <c r="U12" s="50">
        <f t="shared" si="2"/>
        <v>4247.28</v>
      </c>
      <c r="V12" s="55"/>
      <c r="W12" s="53"/>
      <c r="X12" s="53">
        <f t="shared" si="4"/>
        <v>46720.08</v>
      </c>
      <c r="AA12" s="7" t="str">
        <f>C12</f>
        <v>Саттарова Г.С.</v>
      </c>
      <c r="AB12" s="8">
        <f>N12</f>
        <v>1</v>
      </c>
      <c r="AC12" s="8">
        <f>X12</f>
        <v>46720.08</v>
      </c>
      <c r="AD12" s="9"/>
      <c r="AE12" s="7"/>
      <c r="AF12" s="8"/>
      <c r="AG12" s="8"/>
    </row>
    <row r="13" spans="1:44" s="6" customFormat="1" ht="15" hidden="1" customHeight="1" x14ac:dyDescent="0.25">
      <c r="B13" s="4">
        <v>5</v>
      </c>
      <c r="C13" s="42">
        <f>'[1]РАСЧЁТЫ по действующей сист16'!B13</f>
        <v>0</v>
      </c>
      <c r="D13" s="56" t="s">
        <v>38</v>
      </c>
      <c r="E13" s="4"/>
      <c r="F13" s="4"/>
      <c r="G13" s="4"/>
      <c r="H13" s="4"/>
      <c r="I13" s="4"/>
      <c r="J13" s="12"/>
      <c r="K13" s="12"/>
      <c r="L13" s="5"/>
      <c r="M13" s="48">
        <v>17697</v>
      </c>
      <c r="N13" s="48"/>
      <c r="O13" s="57"/>
      <c r="P13" s="48"/>
      <c r="Q13" s="48">
        <f>M13*P13</f>
        <v>0</v>
      </c>
      <c r="R13" s="49">
        <f t="shared" si="5"/>
        <v>0</v>
      </c>
      <c r="S13" s="50">
        <f t="shared" si="0"/>
        <v>0</v>
      </c>
      <c r="T13" s="51">
        <f t="shared" si="1"/>
        <v>0</v>
      </c>
      <c r="U13" s="50">
        <f t="shared" si="2"/>
        <v>0</v>
      </c>
      <c r="V13" s="55"/>
      <c r="W13" s="53"/>
      <c r="X13" s="53">
        <f t="shared" si="4"/>
        <v>0</v>
      </c>
      <c r="Y13" s="11"/>
      <c r="AA13" s="7">
        <f>C13</f>
        <v>0</v>
      </c>
      <c r="AB13" s="8">
        <f>N13</f>
        <v>0</v>
      </c>
      <c r="AC13" s="8">
        <f>X13</f>
        <v>0</v>
      </c>
      <c r="AD13" s="9"/>
      <c r="AE13" s="7"/>
      <c r="AF13" s="8"/>
      <c r="AG13" s="8"/>
    </row>
    <row r="14" spans="1:44" s="6" customFormat="1" ht="15" customHeight="1" thickBot="1" x14ac:dyDescent="0.3">
      <c r="B14" s="4">
        <v>6</v>
      </c>
      <c r="C14" s="42" t="s">
        <v>169</v>
      </c>
      <c r="D14" s="58" t="s">
        <v>40</v>
      </c>
      <c r="E14" s="59" t="s">
        <v>28</v>
      </c>
      <c r="F14" s="59" t="s">
        <v>170</v>
      </c>
      <c r="G14" s="59"/>
      <c r="H14" s="59"/>
      <c r="I14" s="59">
        <v>1</v>
      </c>
      <c r="J14" s="32"/>
      <c r="K14" s="32" t="s">
        <v>37</v>
      </c>
      <c r="L14" s="33">
        <v>2</v>
      </c>
      <c r="M14" s="60">
        <v>17697</v>
      </c>
      <c r="N14" s="60">
        <v>0.5</v>
      </c>
      <c r="O14" s="48"/>
      <c r="P14" s="60">
        <v>3.22</v>
      </c>
      <c r="Q14" s="60">
        <f>M14*P14</f>
        <v>56984.340000000004</v>
      </c>
      <c r="R14" s="49">
        <f t="shared" si="5"/>
        <v>0</v>
      </c>
      <c r="S14" s="50">
        <f t="shared" si="0"/>
        <v>0</v>
      </c>
      <c r="T14" s="51">
        <f t="shared" si="1"/>
        <v>0.1</v>
      </c>
      <c r="U14" s="50">
        <f t="shared" si="2"/>
        <v>2849.22</v>
      </c>
      <c r="V14" s="61"/>
      <c r="W14" s="62"/>
      <c r="X14" s="53">
        <f t="shared" si="4"/>
        <v>31341.39</v>
      </c>
      <c r="Y14" s="11"/>
      <c r="AA14" s="7" t="str">
        <f>C14</f>
        <v>Доирбаева Д.Е.</v>
      </c>
      <c r="AB14" s="8">
        <f>N14</f>
        <v>0.5</v>
      </c>
      <c r="AC14" s="8">
        <f>X14</f>
        <v>31341.39</v>
      </c>
      <c r="AD14" s="9"/>
      <c r="AE14" s="7"/>
      <c r="AF14" s="8"/>
      <c r="AG14" s="8"/>
    </row>
    <row r="15" spans="1:44" ht="30" customHeight="1" thickBot="1" x14ac:dyDescent="0.3">
      <c r="B15" s="481" t="s">
        <v>42</v>
      </c>
      <c r="C15" s="482"/>
      <c r="D15" s="482"/>
      <c r="E15" s="482"/>
      <c r="F15" s="63"/>
      <c r="G15" s="63"/>
      <c r="H15" s="63"/>
      <c r="I15" s="63"/>
      <c r="J15" s="63"/>
      <c r="K15" s="63"/>
      <c r="L15" s="64"/>
      <c r="M15" s="63"/>
      <c r="N15" s="65">
        <f>SUM(N9:N14)</f>
        <v>2.5</v>
      </c>
      <c r="O15" s="65"/>
      <c r="P15" s="65"/>
      <c r="Q15" s="65">
        <f>SUM(Q9:Q14)</f>
        <v>186880.32</v>
      </c>
      <c r="R15" s="65"/>
      <c r="S15" s="66">
        <f>SUM(S9:S14)</f>
        <v>0</v>
      </c>
      <c r="T15" s="66"/>
      <c r="U15" s="66">
        <f>SUM(U9:U14)</f>
        <v>15838.819999999998</v>
      </c>
      <c r="V15" s="66">
        <f>SUM(V9:V13)</f>
        <v>0.3</v>
      </c>
      <c r="W15" s="66">
        <f>SUM(W9:W14)</f>
        <v>5309.0999999999995</v>
      </c>
      <c r="X15" s="17">
        <f>SUM(X9:X14)</f>
        <v>179536.07</v>
      </c>
      <c r="AA15" s="14" t="s">
        <v>43</v>
      </c>
      <c r="AB15" s="15">
        <f>SUM(AB9:AB14)</f>
        <v>1.5</v>
      </c>
      <c r="AC15" s="15">
        <f>SUM(AC9:AC14)</f>
        <v>78061.47</v>
      </c>
      <c r="AD15" s="3"/>
      <c r="AE15" s="14" t="s">
        <v>44</v>
      </c>
      <c r="AF15" s="15">
        <f>SUM(AF9:AF14)</f>
        <v>1</v>
      </c>
      <c r="AG15" s="15">
        <f>SUM(AG9:AG14)</f>
        <v>101474.6</v>
      </c>
      <c r="AI15" s="1"/>
    </row>
    <row r="16" spans="1:44" s="6" customFormat="1" ht="14.25" customHeight="1" x14ac:dyDescent="0.25">
      <c r="B16" s="34">
        <v>7</v>
      </c>
      <c r="C16" s="46" t="s">
        <v>45</v>
      </c>
      <c r="D16" s="67" t="s">
        <v>46</v>
      </c>
      <c r="E16" s="34" t="s">
        <v>28</v>
      </c>
      <c r="F16" s="34" t="s">
        <v>47</v>
      </c>
      <c r="G16" s="34"/>
      <c r="H16" s="34"/>
      <c r="I16" s="34">
        <v>1</v>
      </c>
      <c r="J16" s="34" t="s">
        <v>48</v>
      </c>
      <c r="K16" s="34" t="s">
        <v>53</v>
      </c>
      <c r="L16" s="35">
        <v>2</v>
      </c>
      <c r="M16" s="68">
        <v>17697</v>
      </c>
      <c r="N16" s="69">
        <v>0.75</v>
      </c>
      <c r="O16" s="68">
        <v>1</v>
      </c>
      <c r="P16" s="68">
        <v>3.96</v>
      </c>
      <c r="Q16" s="68">
        <f>M16*P16</f>
        <v>70080.12</v>
      </c>
      <c r="R16" s="49">
        <f t="shared" si="5"/>
        <v>0</v>
      </c>
      <c r="S16" s="50">
        <f>ROUND((Q16+U16)*R16,2)</f>
        <v>0</v>
      </c>
      <c r="T16" s="51">
        <f>IF(I16&gt;0,10%,0)</f>
        <v>0.1</v>
      </c>
      <c r="U16" s="50">
        <f>ROUND(Q16*T16*N16,2)</f>
        <v>5256.01</v>
      </c>
      <c r="V16" s="52">
        <v>0.4</v>
      </c>
      <c r="W16" s="53">
        <f t="shared" ref="W16:W47" si="6">M16*V16*N16</f>
        <v>5309.1</v>
      </c>
      <c r="X16" s="53">
        <f t="shared" si="4"/>
        <v>63125.2</v>
      </c>
      <c r="AA16" s="7"/>
      <c r="AB16" s="8"/>
      <c r="AC16" s="8"/>
      <c r="AD16" s="13"/>
      <c r="AE16" s="7" t="str">
        <f t="shared" ref="AE16:AE26" si="7">C16</f>
        <v>Утебаева А. К.</v>
      </c>
      <c r="AF16" s="16">
        <f t="shared" ref="AF16:AF26" si="8">N16</f>
        <v>0.75</v>
      </c>
      <c r="AG16" s="8">
        <f t="shared" ref="AG16:AG26" si="9">X16</f>
        <v>63125.2</v>
      </c>
    </row>
    <row r="17" spans="2:33" s="6" customFormat="1" ht="15" x14ac:dyDescent="0.25">
      <c r="B17" s="34">
        <v>8</v>
      </c>
      <c r="C17" s="46" t="s">
        <v>50</v>
      </c>
      <c r="D17" s="56" t="s">
        <v>51</v>
      </c>
      <c r="E17" s="34" t="s">
        <v>28</v>
      </c>
      <c r="F17" s="34" t="s">
        <v>52</v>
      </c>
      <c r="G17" s="34"/>
      <c r="H17" s="34"/>
      <c r="I17" s="34">
        <v>1</v>
      </c>
      <c r="J17" s="34" t="s">
        <v>48</v>
      </c>
      <c r="K17" s="34" t="s">
        <v>53</v>
      </c>
      <c r="L17" s="35">
        <v>4</v>
      </c>
      <c r="M17" s="68">
        <v>17697</v>
      </c>
      <c r="N17" s="69">
        <v>1</v>
      </c>
      <c r="O17" s="68"/>
      <c r="P17" s="68">
        <v>3.2</v>
      </c>
      <c r="Q17" s="68">
        <f t="shared" ref="Q17:Q48" si="10">M17*P17</f>
        <v>56630.400000000001</v>
      </c>
      <c r="R17" s="49">
        <f t="shared" si="5"/>
        <v>0</v>
      </c>
      <c r="S17" s="50">
        <f t="shared" ref="S17:S48" si="11">ROUND((Q17+U17)*R17,2)</f>
        <v>0</v>
      </c>
      <c r="T17" s="51">
        <f t="shared" ref="T17:T48" si="12">IF(I17&gt;0,10%,0)</f>
        <v>0.1</v>
      </c>
      <c r="U17" s="50">
        <f t="shared" ref="U17:U48" si="13">ROUND(Q17*T17*N17,2)</f>
        <v>5663.04</v>
      </c>
      <c r="V17" s="52">
        <v>0.4</v>
      </c>
      <c r="W17" s="53">
        <f t="shared" si="6"/>
        <v>7078.8</v>
      </c>
      <c r="X17" s="50">
        <f t="shared" si="4"/>
        <v>69372.240000000005</v>
      </c>
      <c r="AA17" s="7"/>
      <c r="AB17" s="8"/>
      <c r="AC17" s="8"/>
      <c r="AD17" s="13"/>
      <c r="AE17" s="7"/>
      <c r="AF17" s="16"/>
      <c r="AG17" s="8"/>
    </row>
    <row r="18" spans="2:33" s="6" customFormat="1" ht="15" x14ac:dyDescent="0.25">
      <c r="B18" s="34">
        <v>9</v>
      </c>
      <c r="C18" s="46" t="str">
        <f>'[1]РАСЧЁТЫ по действующей сист16'!B19</f>
        <v>Зикен Н.</v>
      </c>
      <c r="D18" s="56" t="s">
        <v>54</v>
      </c>
      <c r="E18" s="34" t="s">
        <v>28</v>
      </c>
      <c r="F18" s="34" t="s">
        <v>41</v>
      </c>
      <c r="G18" s="34"/>
      <c r="H18" s="34"/>
      <c r="I18" s="34">
        <v>1</v>
      </c>
      <c r="J18" s="34" t="s">
        <v>48</v>
      </c>
      <c r="K18" s="34" t="s">
        <v>53</v>
      </c>
      <c r="L18" s="35">
        <v>4</v>
      </c>
      <c r="M18" s="68">
        <v>17697</v>
      </c>
      <c r="N18" s="69">
        <v>1</v>
      </c>
      <c r="O18" s="68"/>
      <c r="P18" s="68">
        <v>3.08</v>
      </c>
      <c r="Q18" s="68">
        <f t="shared" si="10"/>
        <v>54506.76</v>
      </c>
      <c r="R18" s="49">
        <f t="shared" si="5"/>
        <v>0</v>
      </c>
      <c r="S18" s="50">
        <f t="shared" si="11"/>
        <v>0</v>
      </c>
      <c r="T18" s="51">
        <f t="shared" si="12"/>
        <v>0.1</v>
      </c>
      <c r="U18" s="50">
        <f t="shared" si="13"/>
        <v>5450.68</v>
      </c>
      <c r="V18" s="52">
        <v>0.4</v>
      </c>
      <c r="W18" s="53">
        <f t="shared" si="6"/>
        <v>7078.8</v>
      </c>
      <c r="X18" s="50">
        <f t="shared" si="4"/>
        <v>67036.240000000005</v>
      </c>
      <c r="AA18" s="7"/>
      <c r="AB18" s="8"/>
      <c r="AC18" s="8"/>
      <c r="AD18" s="13"/>
      <c r="AE18" s="7" t="str">
        <f t="shared" si="7"/>
        <v>Зикен Н.</v>
      </c>
      <c r="AF18" s="16">
        <f t="shared" si="8"/>
        <v>1</v>
      </c>
      <c r="AG18" s="8">
        <f t="shared" si="9"/>
        <v>67036.240000000005</v>
      </c>
    </row>
    <row r="19" spans="2:33" s="6" customFormat="1" ht="15" x14ac:dyDescent="0.25">
      <c r="B19" s="34">
        <v>10</v>
      </c>
      <c r="C19" s="46" t="str">
        <f>'[1]РАСЧЁТЫ по действующей сист16'!B21</f>
        <v>Коломыцева А.Ю.</v>
      </c>
      <c r="D19" s="56" t="s">
        <v>54</v>
      </c>
      <c r="E19" s="34" t="s">
        <v>28</v>
      </c>
      <c r="F19" s="34">
        <v>1</v>
      </c>
      <c r="G19" s="34"/>
      <c r="H19" s="34"/>
      <c r="I19" s="34">
        <v>1</v>
      </c>
      <c r="J19" s="34" t="s">
        <v>48</v>
      </c>
      <c r="K19" s="34" t="s">
        <v>53</v>
      </c>
      <c r="L19" s="35">
        <v>4</v>
      </c>
      <c r="M19" s="68">
        <v>17697</v>
      </c>
      <c r="N19" s="69">
        <v>1</v>
      </c>
      <c r="O19" s="68"/>
      <c r="P19" s="68">
        <v>3.14</v>
      </c>
      <c r="Q19" s="68">
        <f t="shared" si="10"/>
        <v>55568.58</v>
      </c>
      <c r="R19" s="49">
        <f t="shared" si="5"/>
        <v>0</v>
      </c>
      <c r="S19" s="50">
        <f t="shared" si="11"/>
        <v>0</v>
      </c>
      <c r="T19" s="51">
        <f t="shared" si="12"/>
        <v>0.1</v>
      </c>
      <c r="U19" s="50">
        <f t="shared" si="13"/>
        <v>5556.86</v>
      </c>
      <c r="V19" s="52">
        <v>0.4</v>
      </c>
      <c r="W19" s="53">
        <f t="shared" si="6"/>
        <v>7078.8</v>
      </c>
      <c r="X19" s="50">
        <f t="shared" si="4"/>
        <v>68204.240000000005</v>
      </c>
      <c r="AA19" s="7"/>
      <c r="AB19" s="8"/>
      <c r="AC19" s="8"/>
      <c r="AD19" s="13"/>
      <c r="AE19" s="7" t="str">
        <f t="shared" si="7"/>
        <v>Коломыцева А.Ю.</v>
      </c>
      <c r="AF19" s="16">
        <f t="shared" si="8"/>
        <v>1</v>
      </c>
      <c r="AG19" s="8">
        <f t="shared" si="9"/>
        <v>68204.240000000005</v>
      </c>
    </row>
    <row r="20" spans="2:33" s="6" customFormat="1" ht="15" x14ac:dyDescent="0.25">
      <c r="B20" s="34">
        <v>11</v>
      </c>
      <c r="C20" s="46" t="str">
        <f>'[1]РАСЧЁТЫ по действующей сист16'!B22</f>
        <v>Тулепберген Ф.</v>
      </c>
      <c r="D20" s="56" t="s">
        <v>54</v>
      </c>
      <c r="E20" s="34" t="s">
        <v>28</v>
      </c>
      <c r="F20" s="34">
        <v>1</v>
      </c>
      <c r="G20" s="34"/>
      <c r="H20" s="34"/>
      <c r="I20" s="34">
        <v>1</v>
      </c>
      <c r="J20" s="34" t="s">
        <v>48</v>
      </c>
      <c r="K20" s="34" t="s">
        <v>53</v>
      </c>
      <c r="L20" s="35">
        <v>4</v>
      </c>
      <c r="M20" s="68">
        <v>17697</v>
      </c>
      <c r="N20" s="69">
        <v>1</v>
      </c>
      <c r="O20" s="68"/>
      <c r="P20" s="68">
        <v>3.14</v>
      </c>
      <c r="Q20" s="68">
        <f t="shared" si="10"/>
        <v>55568.58</v>
      </c>
      <c r="R20" s="49">
        <f t="shared" si="5"/>
        <v>0</v>
      </c>
      <c r="S20" s="50">
        <f t="shared" si="11"/>
        <v>0</v>
      </c>
      <c r="T20" s="51">
        <f t="shared" si="12"/>
        <v>0.1</v>
      </c>
      <c r="U20" s="50">
        <f t="shared" si="13"/>
        <v>5556.86</v>
      </c>
      <c r="V20" s="52">
        <v>0.4</v>
      </c>
      <c r="W20" s="53">
        <f t="shared" si="6"/>
        <v>7078.8</v>
      </c>
      <c r="X20" s="50">
        <f t="shared" si="4"/>
        <v>68204.240000000005</v>
      </c>
      <c r="AA20" s="7"/>
      <c r="AB20" s="8"/>
      <c r="AC20" s="8"/>
      <c r="AD20" s="13"/>
      <c r="AE20" s="7" t="str">
        <f t="shared" si="7"/>
        <v>Тулепберген Ф.</v>
      </c>
      <c r="AF20" s="16">
        <f t="shared" si="8"/>
        <v>1</v>
      </c>
      <c r="AG20" s="8">
        <f t="shared" si="9"/>
        <v>68204.240000000005</v>
      </c>
    </row>
    <row r="21" spans="2:33" s="6" customFormat="1" ht="15" x14ac:dyDescent="0.25">
      <c r="B21" s="34">
        <v>12</v>
      </c>
      <c r="C21" s="46" t="str">
        <f>'[1]РАСЧЁТЫ по действующей сист16'!B23</f>
        <v>Абильдинова С.С.</v>
      </c>
      <c r="D21" s="56" t="s">
        <v>54</v>
      </c>
      <c r="E21" s="34" t="s">
        <v>28</v>
      </c>
      <c r="F21" s="34">
        <v>1</v>
      </c>
      <c r="G21" s="34"/>
      <c r="H21" s="34"/>
      <c r="I21" s="34">
        <v>1</v>
      </c>
      <c r="J21" s="34" t="s">
        <v>48</v>
      </c>
      <c r="K21" s="34" t="s">
        <v>53</v>
      </c>
      <c r="L21" s="35">
        <v>4</v>
      </c>
      <c r="M21" s="68">
        <v>17697</v>
      </c>
      <c r="N21" s="69">
        <v>1</v>
      </c>
      <c r="O21" s="68"/>
      <c r="P21" s="68">
        <v>3.14</v>
      </c>
      <c r="Q21" s="68">
        <f t="shared" si="10"/>
        <v>55568.58</v>
      </c>
      <c r="R21" s="49">
        <f t="shared" si="5"/>
        <v>0</v>
      </c>
      <c r="S21" s="50">
        <f t="shared" si="11"/>
        <v>0</v>
      </c>
      <c r="T21" s="51">
        <f t="shared" si="12"/>
        <v>0.1</v>
      </c>
      <c r="U21" s="50">
        <f t="shared" si="13"/>
        <v>5556.86</v>
      </c>
      <c r="V21" s="52">
        <v>0.4</v>
      </c>
      <c r="W21" s="53">
        <f t="shared" si="6"/>
        <v>7078.8</v>
      </c>
      <c r="X21" s="53">
        <f t="shared" si="4"/>
        <v>68204.240000000005</v>
      </c>
      <c r="AA21" s="7"/>
      <c r="AB21" s="8"/>
      <c r="AC21" s="8"/>
      <c r="AD21" s="13"/>
      <c r="AE21" s="7" t="str">
        <f t="shared" si="7"/>
        <v>Абильдинова С.С.</v>
      </c>
      <c r="AF21" s="16">
        <f t="shared" si="8"/>
        <v>1</v>
      </c>
      <c r="AG21" s="8">
        <f t="shared" si="9"/>
        <v>68204.240000000005</v>
      </c>
    </row>
    <row r="22" spans="2:33" s="6" customFormat="1" ht="15" x14ac:dyDescent="0.25">
      <c r="B22" s="34">
        <v>13</v>
      </c>
      <c r="C22" s="46" t="s">
        <v>55</v>
      </c>
      <c r="D22" s="56" t="s">
        <v>54</v>
      </c>
      <c r="E22" s="34" t="s">
        <v>28</v>
      </c>
      <c r="F22" s="4" t="s">
        <v>41</v>
      </c>
      <c r="G22" s="4"/>
      <c r="H22" s="4"/>
      <c r="I22" s="34">
        <v>1</v>
      </c>
      <c r="J22" s="34" t="s">
        <v>48</v>
      </c>
      <c r="K22" s="34" t="s">
        <v>53</v>
      </c>
      <c r="L22" s="35">
        <v>4</v>
      </c>
      <c r="M22" s="68">
        <v>17697</v>
      </c>
      <c r="N22" s="69">
        <v>1</v>
      </c>
      <c r="O22" s="68"/>
      <c r="P22" s="68">
        <v>3.08</v>
      </c>
      <c r="Q22" s="68">
        <f t="shared" si="10"/>
        <v>54506.76</v>
      </c>
      <c r="R22" s="49">
        <f t="shared" si="5"/>
        <v>0</v>
      </c>
      <c r="S22" s="50">
        <f t="shared" si="11"/>
        <v>0</v>
      </c>
      <c r="T22" s="51">
        <f t="shared" si="12"/>
        <v>0.1</v>
      </c>
      <c r="U22" s="50">
        <f t="shared" si="13"/>
        <v>5450.68</v>
      </c>
      <c r="V22" s="52">
        <v>0.4</v>
      </c>
      <c r="W22" s="53">
        <f t="shared" si="6"/>
        <v>7078.8</v>
      </c>
      <c r="X22" s="53">
        <f t="shared" si="4"/>
        <v>67036.240000000005</v>
      </c>
      <c r="Y22" s="11"/>
      <c r="AA22" s="7"/>
      <c r="AB22" s="8"/>
      <c r="AC22" s="8"/>
      <c r="AD22" s="9"/>
      <c r="AE22" s="7" t="str">
        <f t="shared" si="7"/>
        <v>Маульянова М. Ж.</v>
      </c>
      <c r="AF22" s="16">
        <f t="shared" si="8"/>
        <v>1</v>
      </c>
      <c r="AG22" s="8">
        <f t="shared" si="9"/>
        <v>67036.240000000005</v>
      </c>
    </row>
    <row r="23" spans="2:33" s="6" customFormat="1" ht="15" x14ac:dyDescent="0.25">
      <c r="B23" s="34">
        <v>14</v>
      </c>
      <c r="C23" s="46" t="s">
        <v>57</v>
      </c>
      <c r="D23" s="56" t="s">
        <v>58</v>
      </c>
      <c r="E23" s="4" t="s">
        <v>28</v>
      </c>
      <c r="F23" s="4">
        <v>3</v>
      </c>
      <c r="G23" s="4"/>
      <c r="H23" s="4"/>
      <c r="I23" s="4">
        <v>1</v>
      </c>
      <c r="J23" s="34" t="s">
        <v>48</v>
      </c>
      <c r="K23" s="4" t="s">
        <v>56</v>
      </c>
      <c r="L23" s="5">
        <v>4</v>
      </c>
      <c r="M23" s="48">
        <v>17697</v>
      </c>
      <c r="N23" s="70">
        <v>0.5</v>
      </c>
      <c r="O23" s="48"/>
      <c r="P23" s="4">
        <v>2.92</v>
      </c>
      <c r="Q23" s="68">
        <f t="shared" si="10"/>
        <v>51675.24</v>
      </c>
      <c r="R23" s="49">
        <f t="shared" si="5"/>
        <v>0</v>
      </c>
      <c r="S23" s="50">
        <f t="shared" si="11"/>
        <v>0</v>
      </c>
      <c r="T23" s="51">
        <f t="shared" si="12"/>
        <v>0.1</v>
      </c>
      <c r="U23" s="50">
        <f t="shared" si="13"/>
        <v>2583.7600000000002</v>
      </c>
      <c r="V23" s="52">
        <v>0.4</v>
      </c>
      <c r="W23" s="53">
        <f t="shared" si="6"/>
        <v>3539.4</v>
      </c>
      <c r="X23" s="53">
        <f t="shared" si="4"/>
        <v>31960.78</v>
      </c>
      <c r="Y23" s="11"/>
      <c r="AA23" s="7"/>
      <c r="AB23" s="8"/>
      <c r="AC23" s="8"/>
      <c r="AD23" s="9"/>
      <c r="AE23" s="7" t="str">
        <f t="shared" si="7"/>
        <v>Жуманова М.С.</v>
      </c>
      <c r="AF23" s="16">
        <f t="shared" si="8"/>
        <v>0.5</v>
      </c>
      <c r="AG23" s="8">
        <f t="shared" si="9"/>
        <v>31960.78</v>
      </c>
    </row>
    <row r="24" spans="2:33" s="6" customFormat="1" ht="15" x14ac:dyDescent="0.25">
      <c r="B24" s="34">
        <v>15</v>
      </c>
      <c r="C24" s="46" t="s">
        <v>59</v>
      </c>
      <c r="D24" s="56" t="s">
        <v>60</v>
      </c>
      <c r="E24" s="4" t="s">
        <v>28</v>
      </c>
      <c r="F24" s="4" t="s">
        <v>41</v>
      </c>
      <c r="G24" s="4"/>
      <c r="H24" s="4"/>
      <c r="I24" s="4">
        <v>1</v>
      </c>
      <c r="J24" s="34" t="s">
        <v>48</v>
      </c>
      <c r="K24" s="4" t="s">
        <v>53</v>
      </c>
      <c r="L24" s="5">
        <v>4</v>
      </c>
      <c r="M24" s="48">
        <v>17697</v>
      </c>
      <c r="N24" s="70">
        <v>1</v>
      </c>
      <c r="O24" s="48"/>
      <c r="P24" s="4">
        <v>3.08</v>
      </c>
      <c r="Q24" s="68">
        <f t="shared" si="10"/>
        <v>54506.76</v>
      </c>
      <c r="R24" s="49">
        <f t="shared" si="5"/>
        <v>0</v>
      </c>
      <c r="S24" s="50">
        <f t="shared" si="11"/>
        <v>0</v>
      </c>
      <c r="T24" s="51">
        <f t="shared" si="12"/>
        <v>0.1</v>
      </c>
      <c r="U24" s="50">
        <f t="shared" si="13"/>
        <v>5450.68</v>
      </c>
      <c r="V24" s="52">
        <v>0.4</v>
      </c>
      <c r="W24" s="53">
        <f t="shared" si="6"/>
        <v>7078.8</v>
      </c>
      <c r="X24" s="53">
        <f t="shared" si="4"/>
        <v>67036.240000000005</v>
      </c>
      <c r="Y24" s="11"/>
      <c r="AA24" s="7"/>
      <c r="AB24" s="8"/>
      <c r="AC24" s="8"/>
      <c r="AD24" s="9"/>
      <c r="AE24" s="7" t="str">
        <f t="shared" si="7"/>
        <v>Мунсызова А. Е.</v>
      </c>
      <c r="AF24" s="16">
        <f t="shared" si="8"/>
        <v>1</v>
      </c>
      <c r="AG24" s="8">
        <f t="shared" si="9"/>
        <v>67036.240000000005</v>
      </c>
    </row>
    <row r="25" spans="2:33" s="6" customFormat="1" ht="15" x14ac:dyDescent="0.25">
      <c r="B25" s="34">
        <v>16</v>
      </c>
      <c r="C25" s="46" t="s">
        <v>61</v>
      </c>
      <c r="D25" s="56" t="s">
        <v>60</v>
      </c>
      <c r="E25" s="4" t="s">
        <v>28</v>
      </c>
      <c r="F25" s="4">
        <v>17</v>
      </c>
      <c r="G25" s="4"/>
      <c r="H25" s="4"/>
      <c r="I25" s="4">
        <v>1</v>
      </c>
      <c r="J25" s="34" t="s">
        <v>48</v>
      </c>
      <c r="K25" s="4" t="s">
        <v>53</v>
      </c>
      <c r="L25" s="5">
        <v>4</v>
      </c>
      <c r="M25" s="48">
        <v>17697</v>
      </c>
      <c r="N25" s="70">
        <v>1</v>
      </c>
      <c r="O25" s="48"/>
      <c r="P25" s="4">
        <v>3.58</v>
      </c>
      <c r="Q25" s="68">
        <f t="shared" si="10"/>
        <v>63355.26</v>
      </c>
      <c r="R25" s="49">
        <f t="shared" si="5"/>
        <v>0</v>
      </c>
      <c r="S25" s="50">
        <f t="shared" si="11"/>
        <v>0</v>
      </c>
      <c r="T25" s="51">
        <f t="shared" si="12"/>
        <v>0.1</v>
      </c>
      <c r="U25" s="50">
        <f t="shared" si="13"/>
        <v>6335.53</v>
      </c>
      <c r="V25" s="52">
        <v>0.4</v>
      </c>
      <c r="W25" s="53">
        <f t="shared" si="6"/>
        <v>7078.8</v>
      </c>
      <c r="X25" s="53">
        <f t="shared" si="4"/>
        <v>76769.59</v>
      </c>
      <c r="Y25" s="11"/>
      <c r="AA25" s="7"/>
      <c r="AB25" s="8"/>
      <c r="AC25" s="8"/>
      <c r="AD25" s="9"/>
      <c r="AE25" s="7" t="str">
        <f t="shared" si="7"/>
        <v>Искакова С.К.</v>
      </c>
      <c r="AF25" s="16">
        <f t="shared" si="8"/>
        <v>1</v>
      </c>
      <c r="AG25" s="8">
        <f t="shared" si="9"/>
        <v>76769.59</v>
      </c>
    </row>
    <row r="26" spans="2:33" s="6" customFormat="1" ht="15" x14ac:dyDescent="0.25">
      <c r="B26" s="34">
        <v>17</v>
      </c>
      <c r="C26" s="42" t="s">
        <v>62</v>
      </c>
      <c r="D26" s="56" t="s">
        <v>63</v>
      </c>
      <c r="E26" s="4" t="s">
        <v>28</v>
      </c>
      <c r="F26" s="4" t="s">
        <v>64</v>
      </c>
      <c r="G26" s="71"/>
      <c r="H26" s="71"/>
      <c r="I26" s="71" t="s">
        <v>65</v>
      </c>
      <c r="J26" s="12"/>
      <c r="K26" s="12" t="s">
        <v>37</v>
      </c>
      <c r="L26" s="5">
        <v>2</v>
      </c>
      <c r="M26" s="48">
        <v>17697</v>
      </c>
      <c r="N26" s="70">
        <v>0.5</v>
      </c>
      <c r="O26" s="48"/>
      <c r="P26" s="48">
        <v>3.45</v>
      </c>
      <c r="Q26" s="48">
        <f t="shared" si="10"/>
        <v>61054.65</v>
      </c>
      <c r="R26" s="49">
        <f t="shared" si="5"/>
        <v>0</v>
      </c>
      <c r="S26" s="50">
        <f t="shared" si="11"/>
        <v>0</v>
      </c>
      <c r="T26" s="51">
        <f t="shared" si="12"/>
        <v>0.1</v>
      </c>
      <c r="U26" s="50">
        <f t="shared" si="13"/>
        <v>3052.73</v>
      </c>
      <c r="V26" s="52"/>
      <c r="W26" s="53">
        <f t="shared" si="6"/>
        <v>0</v>
      </c>
      <c r="X26" s="53">
        <f t="shared" si="4"/>
        <v>33580.06</v>
      </c>
      <c r="Y26" s="11"/>
      <c r="AA26" s="7"/>
      <c r="AB26" s="8"/>
      <c r="AC26" s="8"/>
      <c r="AD26" s="9"/>
      <c r="AE26" s="7" t="str">
        <f t="shared" si="7"/>
        <v>Мухаметжанова Д.С.</v>
      </c>
      <c r="AF26" s="16">
        <f t="shared" si="8"/>
        <v>0.5</v>
      </c>
      <c r="AG26" s="8">
        <f t="shared" si="9"/>
        <v>33580.06</v>
      </c>
    </row>
    <row r="27" spans="2:33" s="6" customFormat="1" ht="15" x14ac:dyDescent="0.25">
      <c r="B27" s="34">
        <v>18</v>
      </c>
      <c r="C27" s="46" t="str">
        <f>'[1]РАСЧЁТЫ по действующей сист16'!B31</f>
        <v>Жанарбаева А.Е.</v>
      </c>
      <c r="D27" s="56" t="s">
        <v>66</v>
      </c>
      <c r="E27" s="4" t="s">
        <v>28</v>
      </c>
      <c r="F27" s="4" t="s">
        <v>67</v>
      </c>
      <c r="G27" s="71"/>
      <c r="H27" s="71"/>
      <c r="I27" s="71" t="s">
        <v>65</v>
      </c>
      <c r="J27" s="12" t="s">
        <v>48</v>
      </c>
      <c r="K27" s="12" t="s">
        <v>53</v>
      </c>
      <c r="L27" s="5">
        <v>4</v>
      </c>
      <c r="M27" s="48">
        <v>17697</v>
      </c>
      <c r="N27" s="70">
        <v>0.25</v>
      </c>
      <c r="O27" s="48"/>
      <c r="P27" s="48">
        <v>3.65</v>
      </c>
      <c r="Q27" s="48">
        <f t="shared" si="10"/>
        <v>64594.049999999996</v>
      </c>
      <c r="R27" s="49">
        <f t="shared" si="5"/>
        <v>0</v>
      </c>
      <c r="S27" s="50">
        <f t="shared" si="11"/>
        <v>0</v>
      </c>
      <c r="T27" s="51">
        <f t="shared" si="12"/>
        <v>0.1</v>
      </c>
      <c r="U27" s="50">
        <f t="shared" si="13"/>
        <v>1614.85</v>
      </c>
      <c r="V27" s="52">
        <v>0.4</v>
      </c>
      <c r="W27" s="53">
        <f t="shared" si="6"/>
        <v>1769.7</v>
      </c>
      <c r="X27" s="53">
        <f t="shared" si="4"/>
        <v>19533.060000000001</v>
      </c>
      <c r="Y27" s="11"/>
      <c r="AA27" s="7" t="str">
        <f t="shared" ref="AA27:AA30" si="14">C27</f>
        <v>Жанарбаева А.Е.</v>
      </c>
      <c r="AB27" s="8">
        <f t="shared" ref="AB27:AB30" si="15">N27</f>
        <v>0.25</v>
      </c>
      <c r="AC27" s="8">
        <f t="shared" ref="AC27:AC31" si="16">X27</f>
        <v>19533.060000000001</v>
      </c>
      <c r="AD27" s="9"/>
      <c r="AE27" s="7"/>
      <c r="AF27" s="16"/>
      <c r="AG27" s="8"/>
    </row>
    <row r="28" spans="2:33" s="6" customFormat="1" ht="15" x14ac:dyDescent="0.25">
      <c r="B28" s="34">
        <v>19</v>
      </c>
      <c r="C28" s="46" t="str">
        <f>'[1]РАСЧЁТЫ по действующей сист16'!B32</f>
        <v>Арынова  П.Т.</v>
      </c>
      <c r="D28" s="56" t="s">
        <v>68</v>
      </c>
      <c r="E28" s="4" t="s">
        <v>28</v>
      </c>
      <c r="F28" s="4" t="s">
        <v>69</v>
      </c>
      <c r="G28" s="71"/>
      <c r="H28" s="71"/>
      <c r="I28" s="71" t="s">
        <v>65</v>
      </c>
      <c r="J28" s="12" t="s">
        <v>48</v>
      </c>
      <c r="K28" s="12" t="s">
        <v>53</v>
      </c>
      <c r="L28" s="5">
        <v>4</v>
      </c>
      <c r="M28" s="48">
        <v>17697</v>
      </c>
      <c r="N28" s="70">
        <v>0.25</v>
      </c>
      <c r="O28" s="48"/>
      <c r="P28" s="48">
        <v>3.65</v>
      </c>
      <c r="Q28" s="48">
        <f t="shared" si="10"/>
        <v>64594.049999999996</v>
      </c>
      <c r="R28" s="49">
        <f t="shared" si="5"/>
        <v>0</v>
      </c>
      <c r="S28" s="50">
        <f t="shared" si="11"/>
        <v>0</v>
      </c>
      <c r="T28" s="51">
        <f t="shared" si="12"/>
        <v>0.1</v>
      </c>
      <c r="U28" s="50">
        <f t="shared" si="13"/>
        <v>1614.85</v>
      </c>
      <c r="V28" s="52">
        <v>0.4</v>
      </c>
      <c r="W28" s="53">
        <f t="shared" si="6"/>
        <v>1769.7</v>
      </c>
      <c r="X28" s="53">
        <f t="shared" si="4"/>
        <v>19533.060000000001</v>
      </c>
      <c r="Y28" s="11"/>
      <c r="AA28" s="7" t="str">
        <f t="shared" si="14"/>
        <v>Арынова  П.Т.</v>
      </c>
      <c r="AB28" s="8">
        <f t="shared" si="15"/>
        <v>0.25</v>
      </c>
      <c r="AC28" s="8">
        <f t="shared" si="16"/>
        <v>19533.060000000001</v>
      </c>
      <c r="AD28" s="9"/>
      <c r="AE28" s="7"/>
      <c r="AF28" s="16"/>
      <c r="AG28" s="8"/>
    </row>
    <row r="29" spans="2:33" s="6" customFormat="1" ht="15" x14ac:dyDescent="0.25">
      <c r="B29" s="34">
        <v>20</v>
      </c>
      <c r="C29" s="72" t="s">
        <v>70</v>
      </c>
      <c r="D29" s="56" t="s">
        <v>71</v>
      </c>
      <c r="E29" s="4" t="s">
        <v>35</v>
      </c>
      <c r="F29" s="4" t="s">
        <v>69</v>
      </c>
      <c r="G29" s="71"/>
      <c r="H29" s="71"/>
      <c r="I29" s="71" t="s">
        <v>65</v>
      </c>
      <c r="J29" s="12" t="s">
        <v>48</v>
      </c>
      <c r="K29" s="12" t="s">
        <v>49</v>
      </c>
      <c r="L29" s="5">
        <v>3</v>
      </c>
      <c r="M29" s="48">
        <v>17697</v>
      </c>
      <c r="N29" s="70">
        <v>1</v>
      </c>
      <c r="O29" s="48">
        <v>2</v>
      </c>
      <c r="P29" s="48">
        <v>3.13</v>
      </c>
      <c r="Q29" s="48">
        <f t="shared" si="10"/>
        <v>55391.61</v>
      </c>
      <c r="R29" s="49">
        <f t="shared" si="5"/>
        <v>0</v>
      </c>
      <c r="S29" s="50">
        <f t="shared" si="11"/>
        <v>0</v>
      </c>
      <c r="T29" s="51">
        <f t="shared" si="12"/>
        <v>0.1</v>
      </c>
      <c r="U29" s="50">
        <f t="shared" si="13"/>
        <v>5539.16</v>
      </c>
      <c r="V29" s="52">
        <v>0.4</v>
      </c>
      <c r="W29" s="53">
        <f t="shared" si="6"/>
        <v>7078.8</v>
      </c>
      <c r="X29" s="53">
        <f t="shared" si="4"/>
        <v>68009.570000000007</v>
      </c>
      <c r="Y29" s="11"/>
      <c r="AA29" s="7" t="str">
        <f t="shared" si="14"/>
        <v>Тезекбаева Р.Т.</v>
      </c>
      <c r="AB29" s="8">
        <f t="shared" si="15"/>
        <v>1</v>
      </c>
      <c r="AC29" s="8">
        <f t="shared" si="16"/>
        <v>68009.570000000007</v>
      </c>
      <c r="AD29" s="9"/>
      <c r="AE29" s="7"/>
      <c r="AF29" s="16"/>
      <c r="AG29" s="8"/>
    </row>
    <row r="30" spans="2:33" s="6" customFormat="1" ht="15" x14ac:dyDescent="0.25">
      <c r="B30" s="34">
        <v>21</v>
      </c>
      <c r="C30" s="46" t="str">
        <f>'[1]РАСЧЁТЫ по действующей сист16'!B34</f>
        <v>Мруалина Т.</v>
      </c>
      <c r="D30" s="56" t="s">
        <v>72</v>
      </c>
      <c r="E30" s="4" t="s">
        <v>35</v>
      </c>
      <c r="F30" s="4" t="s">
        <v>69</v>
      </c>
      <c r="G30" s="71"/>
      <c r="H30" s="71"/>
      <c r="I30" s="71" t="s">
        <v>65</v>
      </c>
      <c r="J30" s="12" t="s">
        <v>48</v>
      </c>
      <c r="K30" s="12" t="s">
        <v>49</v>
      </c>
      <c r="L30" s="5">
        <v>4</v>
      </c>
      <c r="M30" s="48">
        <v>17697</v>
      </c>
      <c r="N30" s="70">
        <v>0.5</v>
      </c>
      <c r="O30" s="48"/>
      <c r="P30" s="48">
        <v>2.68</v>
      </c>
      <c r="Q30" s="48">
        <f t="shared" si="10"/>
        <v>47427.960000000006</v>
      </c>
      <c r="R30" s="49">
        <f t="shared" si="5"/>
        <v>0</v>
      </c>
      <c r="S30" s="50">
        <f t="shared" si="11"/>
        <v>0</v>
      </c>
      <c r="T30" s="51">
        <f t="shared" si="12"/>
        <v>0.1</v>
      </c>
      <c r="U30" s="50">
        <f t="shared" si="13"/>
        <v>2371.4</v>
      </c>
      <c r="V30" s="52">
        <v>0.4</v>
      </c>
      <c r="W30" s="53">
        <f t="shared" si="6"/>
        <v>3539.4</v>
      </c>
      <c r="X30" s="53">
        <f t="shared" si="4"/>
        <v>29624.78</v>
      </c>
      <c r="Y30" s="11"/>
      <c r="AA30" s="7" t="str">
        <f t="shared" si="14"/>
        <v>Мруалина Т.</v>
      </c>
      <c r="AB30" s="8">
        <f t="shared" si="15"/>
        <v>0.5</v>
      </c>
      <c r="AC30" s="8">
        <f t="shared" si="16"/>
        <v>29624.78</v>
      </c>
      <c r="AD30" s="9"/>
      <c r="AE30" s="7"/>
      <c r="AF30" s="16"/>
      <c r="AG30" s="8"/>
    </row>
    <row r="31" spans="2:33" s="6" customFormat="1" ht="15" x14ac:dyDescent="0.25">
      <c r="B31" s="34">
        <v>22</v>
      </c>
      <c r="C31" s="46" t="str">
        <f>'[1]РАСЧЁТЫ по действующей сист16'!B38</f>
        <v>Жуманова М.С.</v>
      </c>
      <c r="D31" s="56" t="s">
        <v>73</v>
      </c>
      <c r="E31" s="4" t="s">
        <v>28</v>
      </c>
      <c r="F31" s="4">
        <v>1</v>
      </c>
      <c r="G31" s="4"/>
      <c r="H31" s="4"/>
      <c r="I31" s="4">
        <v>1</v>
      </c>
      <c r="J31" s="12"/>
      <c r="K31" s="12" t="s">
        <v>37</v>
      </c>
      <c r="L31" s="5">
        <v>2</v>
      </c>
      <c r="M31" s="48">
        <v>17697</v>
      </c>
      <c r="N31" s="70">
        <v>1</v>
      </c>
      <c r="O31" s="71"/>
      <c r="P31" s="48">
        <v>3.15</v>
      </c>
      <c r="Q31" s="48">
        <f t="shared" si="10"/>
        <v>55745.549999999996</v>
      </c>
      <c r="R31" s="49">
        <f t="shared" si="5"/>
        <v>0</v>
      </c>
      <c r="S31" s="50">
        <f t="shared" si="11"/>
        <v>0</v>
      </c>
      <c r="T31" s="51">
        <f t="shared" si="12"/>
        <v>0.1</v>
      </c>
      <c r="U31" s="50">
        <f t="shared" si="13"/>
        <v>5574.56</v>
      </c>
      <c r="V31" s="52">
        <v>0</v>
      </c>
      <c r="W31" s="53">
        <f t="shared" si="6"/>
        <v>0</v>
      </c>
      <c r="X31" s="53">
        <f t="shared" si="4"/>
        <v>61320.11</v>
      </c>
      <c r="AA31" s="7" t="str">
        <f>C31</f>
        <v>Жуманова М.С.</v>
      </c>
      <c r="AB31" s="8">
        <f>N31</f>
        <v>1</v>
      </c>
      <c r="AC31" s="8">
        <f t="shared" si="16"/>
        <v>61320.11</v>
      </c>
      <c r="AD31" s="9"/>
      <c r="AE31" s="7"/>
      <c r="AF31" s="16"/>
      <c r="AG31" s="8"/>
    </row>
    <row r="32" spans="2:33" s="6" customFormat="1" ht="30" x14ac:dyDescent="0.25">
      <c r="B32" s="34">
        <v>23</v>
      </c>
      <c r="C32" s="46" t="s">
        <v>74</v>
      </c>
      <c r="D32" s="56" t="s">
        <v>75</v>
      </c>
      <c r="E32" s="4" t="s">
        <v>28</v>
      </c>
      <c r="F32" s="4" t="s">
        <v>76</v>
      </c>
      <c r="G32" s="4"/>
      <c r="H32" s="4"/>
      <c r="I32" s="4">
        <v>1</v>
      </c>
      <c r="J32" s="12" t="s">
        <v>48</v>
      </c>
      <c r="K32" s="12" t="s">
        <v>56</v>
      </c>
      <c r="L32" s="5">
        <v>4</v>
      </c>
      <c r="M32" s="48">
        <v>17697</v>
      </c>
      <c r="N32" s="70">
        <v>1.25</v>
      </c>
      <c r="O32" s="71"/>
      <c r="P32" s="48">
        <v>3.04</v>
      </c>
      <c r="Q32" s="48">
        <f t="shared" si="10"/>
        <v>53798.879999999997</v>
      </c>
      <c r="R32" s="49">
        <f t="shared" si="5"/>
        <v>0</v>
      </c>
      <c r="S32" s="50">
        <f t="shared" si="11"/>
        <v>0</v>
      </c>
      <c r="T32" s="51">
        <f t="shared" si="12"/>
        <v>0.1</v>
      </c>
      <c r="U32" s="50">
        <f t="shared" si="13"/>
        <v>6724.86</v>
      </c>
      <c r="V32" s="52">
        <v>0.4</v>
      </c>
      <c r="W32" s="53">
        <f t="shared" si="6"/>
        <v>8848.5</v>
      </c>
      <c r="X32" s="53">
        <f t="shared" si="4"/>
        <v>82821.960000000006</v>
      </c>
      <c r="AA32" s="7"/>
      <c r="AB32" s="8">
        <f>N32</f>
        <v>1.25</v>
      </c>
      <c r="AC32" s="8"/>
      <c r="AD32" s="9"/>
      <c r="AE32" s="7" t="str">
        <f t="shared" ref="AE32:AE42" si="17">C32</f>
        <v>Оразалинов Б.Ж.</v>
      </c>
      <c r="AF32" s="16">
        <f t="shared" ref="AF32:AF42" si="18">N32</f>
        <v>1.25</v>
      </c>
      <c r="AG32" s="8">
        <f t="shared" ref="AG32:AG42" si="19">X32</f>
        <v>82821.960000000006</v>
      </c>
    </row>
    <row r="33" spans="2:33" s="6" customFormat="1" ht="15" x14ac:dyDescent="0.25">
      <c r="B33" s="34">
        <v>24</v>
      </c>
      <c r="C33" s="46" t="s">
        <v>77</v>
      </c>
      <c r="D33" s="56" t="s">
        <v>78</v>
      </c>
      <c r="E33" s="4" t="s">
        <v>28</v>
      </c>
      <c r="F33" s="4" t="s">
        <v>79</v>
      </c>
      <c r="G33" s="4"/>
      <c r="H33" s="4"/>
      <c r="I33" s="4">
        <v>1</v>
      </c>
      <c r="J33" s="12" t="s">
        <v>48</v>
      </c>
      <c r="K33" s="12" t="s">
        <v>56</v>
      </c>
      <c r="L33" s="5">
        <v>4</v>
      </c>
      <c r="M33" s="48">
        <v>17697</v>
      </c>
      <c r="N33" s="70">
        <v>1.25</v>
      </c>
      <c r="O33" s="71"/>
      <c r="P33" s="48">
        <v>3.04</v>
      </c>
      <c r="Q33" s="48">
        <f t="shared" si="10"/>
        <v>53798.879999999997</v>
      </c>
      <c r="R33" s="49">
        <f t="shared" si="5"/>
        <v>0</v>
      </c>
      <c r="S33" s="50">
        <f t="shared" si="11"/>
        <v>0</v>
      </c>
      <c r="T33" s="51">
        <f t="shared" si="12"/>
        <v>0.1</v>
      </c>
      <c r="U33" s="50">
        <f t="shared" si="13"/>
        <v>6724.86</v>
      </c>
      <c r="V33" s="52">
        <v>0.4</v>
      </c>
      <c r="W33" s="53">
        <f t="shared" si="6"/>
        <v>8848.5</v>
      </c>
      <c r="X33" s="53">
        <f t="shared" si="4"/>
        <v>82821.960000000006</v>
      </c>
      <c r="AA33" s="7"/>
      <c r="AB33" s="8">
        <f>N33</f>
        <v>1.25</v>
      </c>
      <c r="AC33" s="8"/>
      <c r="AD33" s="13"/>
      <c r="AE33" s="7" t="str">
        <f t="shared" si="17"/>
        <v>Слуту Л.С.</v>
      </c>
      <c r="AF33" s="16">
        <f t="shared" si="18"/>
        <v>1.25</v>
      </c>
      <c r="AG33" s="8">
        <f t="shared" si="19"/>
        <v>82821.960000000006</v>
      </c>
    </row>
    <row r="34" spans="2:33" s="6" customFormat="1" ht="15" x14ac:dyDescent="0.25">
      <c r="B34" s="34">
        <v>25</v>
      </c>
      <c r="C34" s="46" t="str">
        <f>'[1]РАСЧЁТЫ по действующей сист16'!B43</f>
        <v>Жампеисова М.Б.</v>
      </c>
      <c r="D34" s="56" t="s">
        <v>78</v>
      </c>
      <c r="E34" s="4" t="s">
        <v>35</v>
      </c>
      <c r="F34" s="4" t="s">
        <v>80</v>
      </c>
      <c r="G34" s="71"/>
      <c r="H34" s="71"/>
      <c r="I34" s="71" t="s">
        <v>65</v>
      </c>
      <c r="J34" s="12" t="s">
        <v>48</v>
      </c>
      <c r="K34" s="12" t="s">
        <v>49</v>
      </c>
      <c r="L34" s="5">
        <v>4</v>
      </c>
      <c r="M34" s="48">
        <v>17697</v>
      </c>
      <c r="N34" s="70">
        <v>1.25</v>
      </c>
      <c r="O34" s="5"/>
      <c r="P34" s="48">
        <v>2.5299999999999998</v>
      </c>
      <c r="Q34" s="48">
        <f t="shared" si="10"/>
        <v>44773.409999999996</v>
      </c>
      <c r="R34" s="49">
        <f t="shared" si="5"/>
        <v>0</v>
      </c>
      <c r="S34" s="50">
        <f t="shared" si="11"/>
        <v>0</v>
      </c>
      <c r="T34" s="51">
        <f t="shared" si="12"/>
        <v>0.1</v>
      </c>
      <c r="U34" s="50">
        <f t="shared" si="13"/>
        <v>5596.68</v>
      </c>
      <c r="V34" s="52">
        <v>0.4</v>
      </c>
      <c r="W34" s="53">
        <f t="shared" si="6"/>
        <v>8848.5</v>
      </c>
      <c r="X34" s="53">
        <f t="shared" si="4"/>
        <v>70411.94</v>
      </c>
      <c r="AA34" s="7"/>
      <c r="AB34" s="8"/>
      <c r="AC34" s="8"/>
      <c r="AD34" s="13"/>
      <c r="AE34" s="7" t="str">
        <f t="shared" si="17"/>
        <v>Жампеисова М.Б.</v>
      </c>
      <c r="AF34" s="16">
        <f t="shared" si="18"/>
        <v>1.25</v>
      </c>
      <c r="AG34" s="8">
        <f t="shared" si="19"/>
        <v>70411.94</v>
      </c>
    </row>
    <row r="35" spans="2:33" s="6" customFormat="1" ht="15" x14ac:dyDescent="0.25">
      <c r="B35" s="34">
        <v>26</v>
      </c>
      <c r="C35" s="46" t="s">
        <v>81</v>
      </c>
      <c r="D35" s="56" t="s">
        <v>78</v>
      </c>
      <c r="E35" s="4" t="s">
        <v>35</v>
      </c>
      <c r="F35" s="4" t="s">
        <v>82</v>
      </c>
      <c r="G35" s="71"/>
      <c r="H35" s="71"/>
      <c r="I35" s="71" t="s">
        <v>65</v>
      </c>
      <c r="J35" s="12" t="s">
        <v>48</v>
      </c>
      <c r="K35" s="12" t="s">
        <v>49</v>
      </c>
      <c r="L35" s="5">
        <v>2</v>
      </c>
      <c r="M35" s="48">
        <v>17697</v>
      </c>
      <c r="N35" s="70">
        <v>1.25</v>
      </c>
      <c r="O35" s="5">
        <v>1</v>
      </c>
      <c r="P35" s="48">
        <v>3.41</v>
      </c>
      <c r="Q35" s="48">
        <f t="shared" si="10"/>
        <v>60346.770000000004</v>
      </c>
      <c r="R35" s="49">
        <f t="shared" si="5"/>
        <v>0</v>
      </c>
      <c r="S35" s="50">
        <f t="shared" si="11"/>
        <v>0</v>
      </c>
      <c r="T35" s="51">
        <f t="shared" si="12"/>
        <v>0.1</v>
      </c>
      <c r="U35" s="50">
        <f t="shared" si="13"/>
        <v>7543.35</v>
      </c>
      <c r="V35" s="52">
        <v>0.4</v>
      </c>
      <c r="W35" s="53">
        <f t="shared" si="6"/>
        <v>8848.5</v>
      </c>
      <c r="X35" s="208">
        <f t="shared" si="4"/>
        <v>91825.31</v>
      </c>
      <c r="AA35" s="7"/>
      <c r="AB35" s="8"/>
      <c r="AC35" s="8"/>
      <c r="AD35" s="13"/>
      <c r="AE35" s="7" t="str">
        <f t="shared" si="17"/>
        <v>Абдулова Е.В.</v>
      </c>
      <c r="AF35" s="16">
        <f t="shared" si="18"/>
        <v>1.25</v>
      </c>
      <c r="AG35" s="8">
        <f t="shared" si="19"/>
        <v>91825.31</v>
      </c>
    </row>
    <row r="36" spans="2:33" s="6" customFormat="1" ht="15" x14ac:dyDescent="0.25">
      <c r="B36" s="34">
        <v>27</v>
      </c>
      <c r="C36" s="46" t="str">
        <f>'[1]РАСЧЁТЫ по действующей сист16'!B45</f>
        <v>Болпак  У.Б.</v>
      </c>
      <c r="D36" s="56" t="s">
        <v>78</v>
      </c>
      <c r="E36" s="4" t="s">
        <v>28</v>
      </c>
      <c r="F36" s="4" t="s">
        <v>83</v>
      </c>
      <c r="G36" s="71"/>
      <c r="H36" s="71"/>
      <c r="I36" s="71" t="s">
        <v>65</v>
      </c>
      <c r="J36" s="12" t="s">
        <v>48</v>
      </c>
      <c r="K36" s="12" t="s">
        <v>56</v>
      </c>
      <c r="L36" s="5">
        <v>4</v>
      </c>
      <c r="M36" s="48">
        <v>17697</v>
      </c>
      <c r="N36" s="70">
        <v>1.25</v>
      </c>
      <c r="O36" s="5"/>
      <c r="P36" s="48">
        <v>3.04</v>
      </c>
      <c r="Q36" s="48">
        <f t="shared" si="10"/>
        <v>53798.879999999997</v>
      </c>
      <c r="R36" s="49">
        <f t="shared" si="5"/>
        <v>0</v>
      </c>
      <c r="S36" s="50">
        <f t="shared" si="11"/>
        <v>0</v>
      </c>
      <c r="T36" s="51">
        <f t="shared" si="12"/>
        <v>0.1</v>
      </c>
      <c r="U36" s="50">
        <f t="shared" si="13"/>
        <v>6724.86</v>
      </c>
      <c r="V36" s="52">
        <v>0.4</v>
      </c>
      <c r="W36" s="53">
        <f t="shared" si="6"/>
        <v>8848.5</v>
      </c>
      <c r="X36" s="53">
        <f t="shared" si="4"/>
        <v>82821.960000000006</v>
      </c>
      <c r="AA36" s="7"/>
      <c r="AB36" s="8"/>
      <c r="AC36" s="8"/>
      <c r="AD36" s="13"/>
      <c r="AE36" s="7" t="str">
        <f t="shared" si="17"/>
        <v>Болпак  У.Б.</v>
      </c>
      <c r="AF36" s="16">
        <f t="shared" si="18"/>
        <v>1.25</v>
      </c>
      <c r="AG36" s="8">
        <f t="shared" si="19"/>
        <v>82821.960000000006</v>
      </c>
    </row>
    <row r="37" spans="2:33" s="6" customFormat="1" ht="15" x14ac:dyDescent="0.25">
      <c r="B37" s="34">
        <v>28</v>
      </c>
      <c r="C37" s="46" t="s">
        <v>84</v>
      </c>
      <c r="D37" s="56" t="s">
        <v>78</v>
      </c>
      <c r="E37" s="12" t="s">
        <v>28</v>
      </c>
      <c r="F37" s="12" t="s">
        <v>85</v>
      </c>
      <c r="G37" s="71"/>
      <c r="H37" s="71"/>
      <c r="I37" s="71" t="s">
        <v>65</v>
      </c>
      <c r="J37" s="12" t="s">
        <v>48</v>
      </c>
      <c r="K37" s="12" t="s">
        <v>56</v>
      </c>
      <c r="L37" s="5">
        <v>2</v>
      </c>
      <c r="M37" s="48">
        <v>17697</v>
      </c>
      <c r="N37" s="70">
        <v>1.25</v>
      </c>
      <c r="O37" s="5">
        <v>1</v>
      </c>
      <c r="P37" s="48">
        <v>3.68</v>
      </c>
      <c r="Q37" s="48">
        <f t="shared" si="10"/>
        <v>65124.960000000006</v>
      </c>
      <c r="R37" s="49">
        <f t="shared" si="5"/>
        <v>0</v>
      </c>
      <c r="S37" s="50">
        <f t="shared" si="11"/>
        <v>0</v>
      </c>
      <c r="T37" s="51">
        <f t="shared" si="12"/>
        <v>0.1</v>
      </c>
      <c r="U37" s="50">
        <f t="shared" si="13"/>
        <v>8140.62</v>
      </c>
      <c r="V37" s="52">
        <v>0.4</v>
      </c>
      <c r="W37" s="53">
        <f t="shared" si="6"/>
        <v>8848.5</v>
      </c>
      <c r="X37" s="208">
        <f t="shared" si="4"/>
        <v>98395.32</v>
      </c>
      <c r="AA37" s="7"/>
      <c r="AB37" s="8"/>
      <c r="AC37" s="8"/>
      <c r="AD37" s="13"/>
      <c r="AE37" s="7" t="str">
        <f t="shared" si="17"/>
        <v>Абыкеева К.К</v>
      </c>
      <c r="AF37" s="16">
        <f t="shared" si="18"/>
        <v>1.25</v>
      </c>
      <c r="AG37" s="8">
        <f t="shared" si="19"/>
        <v>98395.32</v>
      </c>
    </row>
    <row r="38" spans="2:33" s="6" customFormat="1" ht="15" x14ac:dyDescent="0.25">
      <c r="B38" s="34">
        <v>29</v>
      </c>
      <c r="C38" s="46" t="str">
        <f>'[1]РАСЧЁТЫ по действующей сист16'!B47</f>
        <v>Рыскалиева Г.С.</v>
      </c>
      <c r="D38" s="56" t="s">
        <v>78</v>
      </c>
      <c r="E38" s="12" t="s">
        <v>28</v>
      </c>
      <c r="F38" s="12" t="s">
        <v>86</v>
      </c>
      <c r="G38" s="71"/>
      <c r="H38" s="71"/>
      <c r="I38" s="71" t="s">
        <v>65</v>
      </c>
      <c r="J38" s="12" t="s">
        <v>48</v>
      </c>
      <c r="K38" s="12" t="s">
        <v>56</v>
      </c>
      <c r="L38" s="5">
        <v>3</v>
      </c>
      <c r="M38" s="48">
        <v>17697</v>
      </c>
      <c r="N38" s="70">
        <v>1.25</v>
      </c>
      <c r="O38" s="5">
        <v>2</v>
      </c>
      <c r="P38" s="48">
        <v>3.57</v>
      </c>
      <c r="Q38" s="48">
        <f t="shared" si="10"/>
        <v>63178.289999999994</v>
      </c>
      <c r="R38" s="49">
        <f t="shared" si="5"/>
        <v>0</v>
      </c>
      <c r="S38" s="50">
        <f t="shared" si="11"/>
        <v>0</v>
      </c>
      <c r="T38" s="51">
        <f t="shared" si="12"/>
        <v>0.1</v>
      </c>
      <c r="U38" s="50">
        <f t="shared" si="13"/>
        <v>7897.29</v>
      </c>
      <c r="V38" s="52">
        <v>0.4</v>
      </c>
      <c r="W38" s="53">
        <f t="shared" si="6"/>
        <v>8848.5</v>
      </c>
      <c r="X38" s="208">
        <f t="shared" si="4"/>
        <v>95718.65</v>
      </c>
      <c r="AA38" s="7"/>
      <c r="AB38" s="8"/>
      <c r="AC38" s="8"/>
      <c r="AD38" s="13"/>
      <c r="AE38" s="7" t="str">
        <f t="shared" si="17"/>
        <v>Рыскалиева Г.С.</v>
      </c>
      <c r="AF38" s="16">
        <f t="shared" si="18"/>
        <v>1.25</v>
      </c>
      <c r="AG38" s="8">
        <f t="shared" si="19"/>
        <v>95718.65</v>
      </c>
    </row>
    <row r="39" spans="2:33" s="6" customFormat="1" ht="15" x14ac:dyDescent="0.25">
      <c r="B39" s="34">
        <v>30</v>
      </c>
      <c r="C39" s="46" t="s">
        <v>87</v>
      </c>
      <c r="D39" s="56" t="s">
        <v>78</v>
      </c>
      <c r="E39" s="12" t="s">
        <v>28</v>
      </c>
      <c r="F39" s="71" t="s">
        <v>88</v>
      </c>
      <c r="G39" s="71"/>
      <c r="H39" s="71"/>
      <c r="I39" s="71" t="s">
        <v>65</v>
      </c>
      <c r="J39" s="12" t="s">
        <v>48</v>
      </c>
      <c r="K39" s="12" t="s">
        <v>56</v>
      </c>
      <c r="L39" s="5">
        <v>2</v>
      </c>
      <c r="M39" s="48">
        <v>17697</v>
      </c>
      <c r="N39" s="70">
        <v>1.25</v>
      </c>
      <c r="O39" s="5">
        <v>1</v>
      </c>
      <c r="P39" s="48">
        <v>3.86</v>
      </c>
      <c r="Q39" s="48">
        <f t="shared" si="10"/>
        <v>68310.42</v>
      </c>
      <c r="R39" s="49">
        <f t="shared" si="5"/>
        <v>0</v>
      </c>
      <c r="S39" s="50">
        <f t="shared" si="11"/>
        <v>0</v>
      </c>
      <c r="T39" s="51">
        <f t="shared" si="12"/>
        <v>0.1</v>
      </c>
      <c r="U39" s="50">
        <f t="shared" si="13"/>
        <v>8538.7999999999993</v>
      </c>
      <c r="V39" s="52">
        <v>0.4</v>
      </c>
      <c r="W39" s="53">
        <f t="shared" si="6"/>
        <v>8848.5</v>
      </c>
      <c r="X39" s="208">
        <f t="shared" si="4"/>
        <v>102775.33</v>
      </c>
      <c r="AA39" s="7"/>
      <c r="AB39" s="8"/>
      <c r="AC39" s="8"/>
      <c r="AD39" s="13"/>
      <c r="AE39" s="7" t="str">
        <f t="shared" si="17"/>
        <v>Жанзакова З. К.</v>
      </c>
      <c r="AF39" s="16">
        <f t="shared" si="18"/>
        <v>1.25</v>
      </c>
      <c r="AG39" s="8">
        <f t="shared" si="19"/>
        <v>102775.33</v>
      </c>
    </row>
    <row r="40" spans="2:33" s="6" customFormat="1" ht="15" x14ac:dyDescent="0.25">
      <c r="B40" s="34">
        <v>31</v>
      </c>
      <c r="C40" s="46" t="str">
        <f>'[1]РАСЧЁТЫ по действующей сист16'!B50</f>
        <v>Инкарбаева М.Ж.</v>
      </c>
      <c r="D40" s="56" t="s">
        <v>78</v>
      </c>
      <c r="E40" s="12" t="s">
        <v>28</v>
      </c>
      <c r="F40" s="71" t="s">
        <v>89</v>
      </c>
      <c r="G40" s="71"/>
      <c r="H40" s="71"/>
      <c r="I40" s="71" t="s">
        <v>65</v>
      </c>
      <c r="J40" s="12" t="s">
        <v>48</v>
      </c>
      <c r="K40" s="12" t="s">
        <v>56</v>
      </c>
      <c r="L40" s="5">
        <v>3</v>
      </c>
      <c r="M40" s="48">
        <v>17697</v>
      </c>
      <c r="N40" s="70">
        <v>1.25</v>
      </c>
      <c r="O40" s="5">
        <v>2</v>
      </c>
      <c r="P40" s="48">
        <v>3.45</v>
      </c>
      <c r="Q40" s="48">
        <f t="shared" si="10"/>
        <v>61054.65</v>
      </c>
      <c r="R40" s="49">
        <f t="shared" si="5"/>
        <v>0</v>
      </c>
      <c r="S40" s="50">
        <f t="shared" si="11"/>
        <v>0</v>
      </c>
      <c r="T40" s="51">
        <f t="shared" si="12"/>
        <v>0.1</v>
      </c>
      <c r="U40" s="50">
        <f t="shared" si="13"/>
        <v>7631.83</v>
      </c>
      <c r="V40" s="52">
        <v>0.4</v>
      </c>
      <c r="W40" s="53">
        <f t="shared" si="6"/>
        <v>8848.5</v>
      </c>
      <c r="X40" s="208">
        <f t="shared" si="4"/>
        <v>92798.64</v>
      </c>
      <c r="AA40" s="7"/>
      <c r="AB40" s="8"/>
      <c r="AC40" s="8"/>
      <c r="AD40" s="13"/>
      <c r="AE40" s="7" t="str">
        <f t="shared" si="17"/>
        <v>Инкарбаева М.Ж.</v>
      </c>
      <c r="AF40" s="16">
        <f t="shared" si="18"/>
        <v>1.25</v>
      </c>
      <c r="AG40" s="8">
        <f t="shared" si="19"/>
        <v>92798.64</v>
      </c>
    </row>
    <row r="41" spans="2:33" s="6" customFormat="1" ht="15" x14ac:dyDescent="0.25">
      <c r="B41" s="34">
        <v>32</v>
      </c>
      <c r="C41" s="46" t="str">
        <f>'[1]РАСЧЁТЫ по действующей сист16'!B51</f>
        <v>Молдабаева А.Д.</v>
      </c>
      <c r="D41" s="56" t="s">
        <v>78</v>
      </c>
      <c r="E41" s="12" t="s">
        <v>28</v>
      </c>
      <c r="F41" s="71" t="s">
        <v>90</v>
      </c>
      <c r="G41" s="71"/>
      <c r="H41" s="71"/>
      <c r="I41" s="71" t="s">
        <v>65</v>
      </c>
      <c r="J41" s="12" t="s">
        <v>48</v>
      </c>
      <c r="K41" s="12" t="s">
        <v>56</v>
      </c>
      <c r="L41" s="5">
        <v>4</v>
      </c>
      <c r="M41" s="48">
        <v>17697</v>
      </c>
      <c r="N41" s="70">
        <v>1.25</v>
      </c>
      <c r="O41" s="71"/>
      <c r="P41" s="48">
        <v>2.82</v>
      </c>
      <c r="Q41" s="48">
        <f t="shared" si="10"/>
        <v>49905.539999999994</v>
      </c>
      <c r="R41" s="49">
        <f t="shared" si="5"/>
        <v>0</v>
      </c>
      <c r="S41" s="50">
        <f t="shared" si="11"/>
        <v>0</v>
      </c>
      <c r="T41" s="51">
        <f t="shared" si="12"/>
        <v>0.1</v>
      </c>
      <c r="U41" s="50">
        <f t="shared" si="13"/>
        <v>6238.19</v>
      </c>
      <c r="V41" s="52">
        <v>0.4</v>
      </c>
      <c r="W41" s="53">
        <f t="shared" si="6"/>
        <v>8848.5</v>
      </c>
      <c r="X41" s="208">
        <f t="shared" si="4"/>
        <v>77468.62</v>
      </c>
      <c r="AA41" s="7"/>
      <c r="AB41" s="8"/>
      <c r="AC41" s="8"/>
      <c r="AD41" s="13"/>
      <c r="AE41" s="7" t="str">
        <f t="shared" si="17"/>
        <v>Молдабаева А.Д.</v>
      </c>
      <c r="AF41" s="16">
        <f t="shared" si="18"/>
        <v>1.25</v>
      </c>
      <c r="AG41" s="8">
        <f t="shared" si="19"/>
        <v>77468.62</v>
      </c>
    </row>
    <row r="42" spans="2:33" s="6" customFormat="1" ht="15" x14ac:dyDescent="0.25">
      <c r="B42" s="34">
        <v>33</v>
      </c>
      <c r="C42" s="46" t="str">
        <f>'[1]РАСЧЁТЫ по действующей сист16'!B52</f>
        <v>Манарова Р.О.</v>
      </c>
      <c r="D42" s="56" t="s">
        <v>78</v>
      </c>
      <c r="E42" s="12" t="s">
        <v>28</v>
      </c>
      <c r="F42" s="71" t="s">
        <v>91</v>
      </c>
      <c r="G42" s="71"/>
      <c r="H42" s="71"/>
      <c r="I42" s="71" t="s">
        <v>65</v>
      </c>
      <c r="J42" s="12" t="s">
        <v>48</v>
      </c>
      <c r="K42" s="12" t="s">
        <v>56</v>
      </c>
      <c r="L42" s="5">
        <v>4</v>
      </c>
      <c r="M42" s="48">
        <v>17697</v>
      </c>
      <c r="N42" s="70">
        <v>1.25</v>
      </c>
      <c r="O42" s="71"/>
      <c r="P42" s="48">
        <v>3.28</v>
      </c>
      <c r="Q42" s="48">
        <f t="shared" si="10"/>
        <v>58046.159999999996</v>
      </c>
      <c r="R42" s="49">
        <f t="shared" si="5"/>
        <v>0</v>
      </c>
      <c r="S42" s="50">
        <f t="shared" si="11"/>
        <v>0</v>
      </c>
      <c r="T42" s="51">
        <f t="shared" si="12"/>
        <v>0.1</v>
      </c>
      <c r="U42" s="50">
        <f t="shared" si="13"/>
        <v>7255.77</v>
      </c>
      <c r="V42" s="52">
        <v>0.4</v>
      </c>
      <c r="W42" s="53">
        <f t="shared" si="6"/>
        <v>8848.5</v>
      </c>
      <c r="X42" s="208">
        <f t="shared" si="4"/>
        <v>88661.97</v>
      </c>
      <c r="AA42" s="7"/>
      <c r="AB42" s="8"/>
      <c r="AC42" s="8"/>
      <c r="AD42" s="13"/>
      <c r="AE42" s="7" t="str">
        <f t="shared" si="17"/>
        <v>Манарова Р.О.</v>
      </c>
      <c r="AF42" s="16">
        <f t="shared" si="18"/>
        <v>1.25</v>
      </c>
      <c r="AG42" s="8">
        <f t="shared" si="19"/>
        <v>88661.97</v>
      </c>
    </row>
    <row r="43" spans="2:33" s="6" customFormat="1" ht="45" x14ac:dyDescent="0.25">
      <c r="B43" s="34">
        <v>34</v>
      </c>
      <c r="C43" s="46" t="str">
        <f>'[1]РАСЧЁТЫ по действующей сист16'!B73</f>
        <v>Никифоров Л.</v>
      </c>
      <c r="D43" s="56" t="s">
        <v>92</v>
      </c>
      <c r="E43" s="4" t="s">
        <v>28</v>
      </c>
      <c r="F43" s="4" t="s">
        <v>93</v>
      </c>
      <c r="G43" s="4"/>
      <c r="H43" s="4"/>
      <c r="I43" s="4">
        <v>1</v>
      </c>
      <c r="J43" s="12"/>
      <c r="K43" s="12"/>
      <c r="L43" s="5" t="s">
        <v>94</v>
      </c>
      <c r="M43" s="48">
        <v>17697</v>
      </c>
      <c r="N43" s="70">
        <v>0.25</v>
      </c>
      <c r="O43" s="71"/>
      <c r="P43" s="48">
        <v>1.84</v>
      </c>
      <c r="Q43" s="48">
        <f t="shared" si="10"/>
        <v>32562.480000000003</v>
      </c>
      <c r="R43" s="49">
        <f t="shared" si="5"/>
        <v>0</v>
      </c>
      <c r="S43" s="50">
        <f t="shared" si="11"/>
        <v>0</v>
      </c>
      <c r="T43" s="51">
        <f t="shared" si="12"/>
        <v>0.1</v>
      </c>
      <c r="U43" s="50">
        <f t="shared" si="13"/>
        <v>814.06</v>
      </c>
      <c r="V43" s="52"/>
      <c r="W43" s="53">
        <f t="shared" si="6"/>
        <v>0</v>
      </c>
      <c r="X43" s="53">
        <f t="shared" ref="X43:X49" si="20">ROUND(Q43*N43+U43+S43+W43,2)</f>
        <v>8954.68</v>
      </c>
      <c r="AA43" s="7"/>
      <c r="AB43" s="8"/>
      <c r="AC43" s="8"/>
      <c r="AD43" s="9"/>
      <c r="AE43" s="7" t="str">
        <f>C43</f>
        <v>Никифоров Л.</v>
      </c>
      <c r="AF43" s="16">
        <f>N43</f>
        <v>0.25</v>
      </c>
      <c r="AG43" s="8">
        <f>X43</f>
        <v>8954.68</v>
      </c>
    </row>
    <row r="44" spans="2:33" s="6" customFormat="1" ht="15" x14ac:dyDescent="0.25">
      <c r="B44" s="34">
        <v>35</v>
      </c>
      <c r="C44" s="46" t="str">
        <f>'[1]РАСЧЁТЫ по действующей сист16'!B76</f>
        <v>Кабылдина Л.Ж.</v>
      </c>
      <c r="D44" s="56" t="s">
        <v>95</v>
      </c>
      <c r="E44" s="4" t="s">
        <v>35</v>
      </c>
      <c r="F44" s="71" t="s">
        <v>41</v>
      </c>
      <c r="G44" s="71"/>
      <c r="H44" s="71"/>
      <c r="I44" s="71" t="s">
        <v>65</v>
      </c>
      <c r="J44" s="12"/>
      <c r="K44" s="12"/>
      <c r="L44" s="5" t="s">
        <v>94</v>
      </c>
      <c r="M44" s="48">
        <v>17697</v>
      </c>
      <c r="N44" s="70">
        <v>1.25</v>
      </c>
      <c r="O44" s="57"/>
      <c r="P44" s="48">
        <v>1.64</v>
      </c>
      <c r="Q44" s="48">
        <f t="shared" si="10"/>
        <v>29023.079999999998</v>
      </c>
      <c r="R44" s="49">
        <f t="shared" si="5"/>
        <v>0</v>
      </c>
      <c r="S44" s="50">
        <f t="shared" si="11"/>
        <v>0</v>
      </c>
      <c r="T44" s="51">
        <f t="shared" si="12"/>
        <v>0.1</v>
      </c>
      <c r="U44" s="50">
        <f t="shared" si="13"/>
        <v>3627.89</v>
      </c>
      <c r="V44" s="52">
        <v>0.7</v>
      </c>
      <c r="W44" s="53">
        <f t="shared" si="6"/>
        <v>15484.875</v>
      </c>
      <c r="X44" s="53">
        <f t="shared" si="20"/>
        <v>55391.62</v>
      </c>
      <c r="Y44" s="11"/>
      <c r="AA44" s="7" t="str">
        <f t="shared" ref="AA44:AA48" si="21">C44</f>
        <v>Кабылдина Л.Ж.</v>
      </c>
      <c r="AB44" s="8">
        <f t="shared" ref="AB44:AB48" si="22">N44</f>
        <v>1.25</v>
      </c>
      <c r="AC44" s="8">
        <f t="shared" ref="AC44:AC48" si="23">X44</f>
        <v>55391.62</v>
      </c>
      <c r="AD44" s="9"/>
      <c r="AE44" s="7"/>
      <c r="AF44" s="16"/>
      <c r="AG44" s="8"/>
    </row>
    <row r="45" spans="2:33" s="6" customFormat="1" ht="15" x14ac:dyDescent="0.25">
      <c r="B45" s="34">
        <v>36</v>
      </c>
      <c r="C45" s="46" t="str">
        <f>'[1]РАСЧЁТЫ по действующей сист16'!B77</f>
        <v>Сагимбаева Ж.Ж.</v>
      </c>
      <c r="D45" s="56" t="s">
        <v>95</v>
      </c>
      <c r="E45" s="4" t="s">
        <v>35</v>
      </c>
      <c r="F45" s="71" t="s">
        <v>96</v>
      </c>
      <c r="G45" s="71"/>
      <c r="H45" s="71"/>
      <c r="I45" s="71" t="s">
        <v>65</v>
      </c>
      <c r="J45" s="12"/>
      <c r="K45" s="12"/>
      <c r="L45" s="5" t="s">
        <v>94</v>
      </c>
      <c r="M45" s="48">
        <v>17697</v>
      </c>
      <c r="N45" s="70">
        <v>1.25</v>
      </c>
      <c r="O45" s="57"/>
      <c r="P45" s="48">
        <v>1.84</v>
      </c>
      <c r="Q45" s="48">
        <f t="shared" si="10"/>
        <v>32562.480000000003</v>
      </c>
      <c r="R45" s="49">
        <f t="shared" si="5"/>
        <v>0</v>
      </c>
      <c r="S45" s="50">
        <f t="shared" si="11"/>
        <v>0</v>
      </c>
      <c r="T45" s="51">
        <f t="shared" si="12"/>
        <v>0.1</v>
      </c>
      <c r="U45" s="50">
        <f t="shared" si="13"/>
        <v>4070.31</v>
      </c>
      <c r="V45" s="52">
        <v>0.7</v>
      </c>
      <c r="W45" s="53">
        <f t="shared" si="6"/>
        <v>15484.875</v>
      </c>
      <c r="X45" s="53">
        <f t="shared" si="20"/>
        <v>60258.29</v>
      </c>
      <c r="Y45" s="11"/>
      <c r="AA45" s="7" t="str">
        <f t="shared" si="21"/>
        <v>Сагимбаева Ж.Ж.</v>
      </c>
      <c r="AB45" s="8">
        <f t="shared" si="22"/>
        <v>1.25</v>
      </c>
      <c r="AC45" s="8">
        <f t="shared" si="23"/>
        <v>60258.29</v>
      </c>
      <c r="AD45" s="9"/>
      <c r="AE45" s="7"/>
      <c r="AF45" s="16"/>
      <c r="AG45" s="8"/>
    </row>
    <row r="46" spans="2:33" s="6" customFormat="1" ht="15" x14ac:dyDescent="0.25">
      <c r="B46" s="34">
        <v>37</v>
      </c>
      <c r="C46" s="46" t="s">
        <v>97</v>
      </c>
      <c r="D46" s="56" t="s">
        <v>95</v>
      </c>
      <c r="E46" s="4" t="s">
        <v>35</v>
      </c>
      <c r="F46" s="71" t="s">
        <v>41</v>
      </c>
      <c r="G46" s="71"/>
      <c r="H46" s="71"/>
      <c r="I46" s="71" t="s">
        <v>65</v>
      </c>
      <c r="J46" s="12"/>
      <c r="K46" s="12"/>
      <c r="L46" s="5" t="s">
        <v>94</v>
      </c>
      <c r="M46" s="48">
        <v>17697</v>
      </c>
      <c r="N46" s="70">
        <v>1.25</v>
      </c>
      <c r="O46" s="57"/>
      <c r="P46" s="48">
        <v>1.64</v>
      </c>
      <c r="Q46" s="48">
        <f t="shared" si="10"/>
        <v>29023.079999999998</v>
      </c>
      <c r="R46" s="49">
        <f t="shared" si="5"/>
        <v>0</v>
      </c>
      <c r="S46" s="50">
        <f t="shared" si="11"/>
        <v>0</v>
      </c>
      <c r="T46" s="51">
        <f t="shared" si="12"/>
        <v>0.1</v>
      </c>
      <c r="U46" s="50">
        <f t="shared" si="13"/>
        <v>3627.89</v>
      </c>
      <c r="V46" s="52">
        <v>0.7</v>
      </c>
      <c r="W46" s="53">
        <f t="shared" si="6"/>
        <v>15484.875</v>
      </c>
      <c r="X46" s="53">
        <f t="shared" si="20"/>
        <v>55391.62</v>
      </c>
      <c r="Y46" s="11"/>
      <c r="AA46" s="7" t="str">
        <f t="shared" si="21"/>
        <v>Арынова С. Ж.</v>
      </c>
      <c r="AB46" s="8">
        <f t="shared" si="22"/>
        <v>1.25</v>
      </c>
      <c r="AC46" s="8">
        <f t="shared" si="23"/>
        <v>55391.62</v>
      </c>
      <c r="AD46" s="9"/>
      <c r="AE46" s="7"/>
      <c r="AF46" s="16"/>
      <c r="AG46" s="8"/>
    </row>
    <row r="47" spans="2:33" s="6" customFormat="1" ht="15" x14ac:dyDescent="0.25">
      <c r="B47" s="34">
        <v>38</v>
      </c>
      <c r="C47" s="46" t="str">
        <f>'[1]РАСЧЁТЫ по действующей сист16'!B79</f>
        <v>Арынова Б.</v>
      </c>
      <c r="D47" s="56" t="s">
        <v>95</v>
      </c>
      <c r="E47" s="4" t="s">
        <v>35</v>
      </c>
      <c r="F47" s="71" t="s">
        <v>41</v>
      </c>
      <c r="G47" s="71"/>
      <c r="H47" s="71"/>
      <c r="I47" s="71" t="s">
        <v>65</v>
      </c>
      <c r="J47" s="12"/>
      <c r="K47" s="12"/>
      <c r="L47" s="5" t="s">
        <v>94</v>
      </c>
      <c r="M47" s="48">
        <v>17697</v>
      </c>
      <c r="N47" s="70">
        <v>1.25</v>
      </c>
      <c r="O47" s="57"/>
      <c r="P47" s="48">
        <v>1.64</v>
      </c>
      <c r="Q47" s="48">
        <f t="shared" si="10"/>
        <v>29023.079999999998</v>
      </c>
      <c r="R47" s="49">
        <f t="shared" si="5"/>
        <v>0</v>
      </c>
      <c r="S47" s="50">
        <f t="shared" si="11"/>
        <v>0</v>
      </c>
      <c r="T47" s="51">
        <f t="shared" si="12"/>
        <v>0.1</v>
      </c>
      <c r="U47" s="50">
        <f t="shared" si="13"/>
        <v>3627.89</v>
      </c>
      <c r="V47" s="52">
        <v>0.7</v>
      </c>
      <c r="W47" s="53">
        <f t="shared" si="6"/>
        <v>15484.875</v>
      </c>
      <c r="X47" s="53">
        <f t="shared" si="20"/>
        <v>55391.62</v>
      </c>
      <c r="Y47" s="11"/>
      <c r="AA47" s="7" t="str">
        <f t="shared" si="21"/>
        <v>Арынова Б.</v>
      </c>
      <c r="AB47" s="8">
        <f t="shared" si="22"/>
        <v>1.25</v>
      </c>
      <c r="AC47" s="8">
        <f t="shared" si="23"/>
        <v>55391.62</v>
      </c>
      <c r="AD47" s="9"/>
      <c r="AE47" s="7"/>
      <c r="AF47" s="16"/>
      <c r="AG47" s="8"/>
    </row>
    <row r="48" spans="2:33" s="6" customFormat="1" ht="15" x14ac:dyDescent="0.25">
      <c r="B48" s="34">
        <v>39</v>
      </c>
      <c r="C48" s="46" t="str">
        <f>'[1]РАСЧЁТЫ по действующей сист16'!B80</f>
        <v>Ибрагимова К.К.</v>
      </c>
      <c r="D48" s="56" t="s">
        <v>95</v>
      </c>
      <c r="E48" s="4" t="s">
        <v>35</v>
      </c>
      <c r="F48" s="71" t="s">
        <v>98</v>
      </c>
      <c r="G48" s="71"/>
      <c r="H48" s="71"/>
      <c r="I48" s="71" t="s">
        <v>65</v>
      </c>
      <c r="J48" s="12"/>
      <c r="K48" s="12"/>
      <c r="L48" s="5" t="s">
        <v>94</v>
      </c>
      <c r="M48" s="48">
        <v>17697</v>
      </c>
      <c r="N48" s="70">
        <v>1.25</v>
      </c>
      <c r="O48" s="57"/>
      <c r="P48" s="48">
        <v>1.76</v>
      </c>
      <c r="Q48" s="48">
        <f t="shared" si="10"/>
        <v>31146.720000000001</v>
      </c>
      <c r="R48" s="49">
        <f t="shared" si="5"/>
        <v>0</v>
      </c>
      <c r="S48" s="50">
        <f t="shared" si="11"/>
        <v>0</v>
      </c>
      <c r="T48" s="51">
        <f t="shared" si="12"/>
        <v>0.1</v>
      </c>
      <c r="U48" s="50">
        <f t="shared" si="13"/>
        <v>3893.34</v>
      </c>
      <c r="V48" s="52">
        <v>0.7</v>
      </c>
      <c r="W48" s="53">
        <f t="shared" ref="W48:W49" si="24">M48*V48*N48</f>
        <v>15484.875</v>
      </c>
      <c r="X48" s="53">
        <f t="shared" si="20"/>
        <v>58311.62</v>
      </c>
      <c r="Y48" s="11"/>
      <c r="AA48" s="7" t="str">
        <f t="shared" si="21"/>
        <v>Ибрагимова К.К.</v>
      </c>
      <c r="AB48" s="8">
        <f t="shared" si="22"/>
        <v>1.25</v>
      </c>
      <c r="AC48" s="8">
        <f t="shared" si="23"/>
        <v>58311.62</v>
      </c>
      <c r="AD48" s="9"/>
      <c r="AE48" s="7"/>
      <c r="AF48" s="16"/>
      <c r="AG48" s="8"/>
    </row>
    <row r="49" spans="2:35" s="6" customFormat="1" ht="30.75" thickBot="1" x14ac:dyDescent="0.3">
      <c r="B49" s="34">
        <v>40</v>
      </c>
      <c r="C49" s="46" t="str">
        <f>'[1]РАСЧЁТЫ по действующей сист16'!B90</f>
        <v>Аллахвердиева И.В.</v>
      </c>
      <c r="D49" s="56" t="s">
        <v>99</v>
      </c>
      <c r="E49" s="4" t="s">
        <v>28</v>
      </c>
      <c r="F49" s="71" t="s">
        <v>100</v>
      </c>
      <c r="G49" s="71"/>
      <c r="H49" s="71"/>
      <c r="I49" s="71" t="s">
        <v>65</v>
      </c>
      <c r="J49" s="12" t="s">
        <v>48</v>
      </c>
      <c r="K49" s="12" t="s">
        <v>56</v>
      </c>
      <c r="L49" s="5">
        <v>1</v>
      </c>
      <c r="M49" s="48">
        <v>17697</v>
      </c>
      <c r="N49" s="70">
        <v>1.25</v>
      </c>
      <c r="O49" s="71" t="s">
        <v>101</v>
      </c>
      <c r="P49" s="48">
        <v>4.26</v>
      </c>
      <c r="Q49" s="48">
        <f t="shared" ref="Q49" si="25">M49*P49</f>
        <v>75389.22</v>
      </c>
      <c r="R49" s="49">
        <f t="shared" si="5"/>
        <v>0</v>
      </c>
      <c r="S49" s="50">
        <f t="shared" ref="S49" si="26">ROUND((Q49+U49)*R49,2)</f>
        <v>0</v>
      </c>
      <c r="T49" s="51">
        <f t="shared" ref="T49" si="27">IF(I49&gt;0,10%,0)</f>
        <v>0.1</v>
      </c>
      <c r="U49" s="50">
        <f t="shared" ref="U49" si="28">ROUND(Q49*T49*N49,2)</f>
        <v>9423.65</v>
      </c>
      <c r="V49" s="52">
        <v>0.4</v>
      </c>
      <c r="W49" s="53">
        <f t="shared" si="24"/>
        <v>8848.5</v>
      </c>
      <c r="X49" s="53">
        <f t="shared" si="20"/>
        <v>112508.68</v>
      </c>
      <c r="Y49" s="11"/>
      <c r="Z49" s="11"/>
      <c r="AA49" s="7"/>
      <c r="AB49" s="8"/>
      <c r="AC49" s="8"/>
      <c r="AD49" s="13"/>
      <c r="AE49" s="7" t="str">
        <f>C49</f>
        <v>Аллахвердиева И.В.</v>
      </c>
      <c r="AF49" s="16">
        <f>N49</f>
        <v>1.25</v>
      </c>
      <c r="AG49" s="8">
        <f>X49</f>
        <v>112508.68</v>
      </c>
    </row>
    <row r="50" spans="2:35" ht="15.75" thickBot="1" x14ac:dyDescent="0.3">
      <c r="B50" s="481" t="s">
        <v>102</v>
      </c>
      <c r="C50" s="482"/>
      <c r="D50" s="482"/>
      <c r="E50" s="482"/>
      <c r="F50" s="63"/>
      <c r="G50" s="63"/>
      <c r="H50" s="63"/>
      <c r="I50" s="63"/>
      <c r="J50" s="63"/>
      <c r="K50" s="63"/>
      <c r="L50" s="63"/>
      <c r="M50" s="65"/>
      <c r="N50" s="65">
        <f>SUM(N16:N49)</f>
        <v>34.25</v>
      </c>
      <c r="O50" s="65"/>
      <c r="P50" s="65"/>
      <c r="Q50" s="65">
        <f>SUM(Q16:Q49)</f>
        <v>1811641.89</v>
      </c>
      <c r="R50" s="65"/>
      <c r="S50" s="66">
        <f>SUM(S16:S49)</f>
        <v>0</v>
      </c>
      <c r="T50" s="66"/>
      <c r="U50" s="66">
        <f>SUM(U16:U49)</f>
        <v>180730.65000000002</v>
      </c>
      <c r="V50" s="66">
        <f>SUM(V21:V49)</f>
        <v>11.899999999999999</v>
      </c>
      <c r="W50" s="66">
        <f>SUM(W16:W49)</f>
        <v>263242.875</v>
      </c>
      <c r="X50" s="73">
        <f>SUM(X16:X49)</f>
        <v>2251279.6800000006</v>
      </c>
      <c r="Y50" s="1"/>
      <c r="AA50" s="14" t="s">
        <v>103</v>
      </c>
      <c r="AB50" s="17">
        <f>SUM(AB16:AB49)</f>
        <v>11.75</v>
      </c>
      <c r="AC50" s="17">
        <f>SUM(AC16:AC49)</f>
        <v>482765.35</v>
      </c>
      <c r="AD50" s="3"/>
      <c r="AE50" s="14" t="s">
        <v>104</v>
      </c>
      <c r="AF50" s="17">
        <f>SUM(AF16:AF49)</f>
        <v>24</v>
      </c>
      <c r="AG50" s="17">
        <f>SUM(AG16:AG49)</f>
        <v>1699142.0899999996</v>
      </c>
      <c r="AI50" s="1"/>
    </row>
    <row r="51" spans="2:35" ht="15" x14ac:dyDescent="0.25">
      <c r="B51" s="77">
        <v>41</v>
      </c>
      <c r="C51" s="75" t="s">
        <v>105</v>
      </c>
      <c r="D51" s="76" t="s">
        <v>106</v>
      </c>
      <c r="E51" s="77" t="s">
        <v>35</v>
      </c>
      <c r="F51" s="83" t="s">
        <v>41</v>
      </c>
      <c r="G51" s="83"/>
      <c r="H51" s="83"/>
      <c r="I51" s="77">
        <v>1</v>
      </c>
      <c r="J51" s="84"/>
      <c r="K51" s="78"/>
      <c r="L51" s="74">
        <v>5</v>
      </c>
      <c r="M51" s="79">
        <v>17697</v>
      </c>
      <c r="N51" s="85">
        <v>1</v>
      </c>
      <c r="O51" s="85"/>
      <c r="P51" s="79">
        <v>2.1</v>
      </c>
      <c r="Q51" s="79">
        <f t="shared" ref="Q51:Q63" si="29">M51*P51</f>
        <v>37163.700000000004</v>
      </c>
      <c r="R51" s="80">
        <f>IF(H51&gt;0,25%,0)</f>
        <v>0</v>
      </c>
      <c r="S51" s="81">
        <f>ROUND((Q51+U51)*R51,2)</f>
        <v>0</v>
      </c>
      <c r="T51" s="82">
        <f>IF(I51&gt;0,10%,0)</f>
        <v>0.1</v>
      </c>
      <c r="U51" s="81">
        <f>ROUND(Q51*T51*N51,2)</f>
        <v>3716.37</v>
      </c>
      <c r="V51" s="86">
        <v>0.3</v>
      </c>
      <c r="W51" s="53">
        <f t="shared" ref="W51:W55" si="30">M51*V51*N51</f>
        <v>5309.0999999999995</v>
      </c>
      <c r="X51" s="18">
        <f t="shared" ref="X51:X63" si="31">ROUND(Q51*N51+S51+U51+W51,2)</f>
        <v>46189.17</v>
      </c>
      <c r="Y51" s="1"/>
      <c r="AA51" s="19" t="str">
        <f t="shared" ref="AA51:AA63" si="32">C51</f>
        <v>Мукушева Г. Х.</v>
      </c>
      <c r="AB51" s="20">
        <f t="shared" ref="AB51:AB59" si="33">N51</f>
        <v>1</v>
      </c>
      <c r="AC51" s="20">
        <f t="shared" ref="AC51:AC62" si="34">X51</f>
        <v>46189.17</v>
      </c>
      <c r="AD51" s="37"/>
      <c r="AE51" s="19"/>
      <c r="AF51" s="21"/>
      <c r="AG51" s="20"/>
    </row>
    <row r="52" spans="2:35" ht="15" x14ac:dyDescent="0.25">
      <c r="B52" s="74">
        <v>42</v>
      </c>
      <c r="C52" s="75" t="s">
        <v>107</v>
      </c>
      <c r="D52" s="76" t="s">
        <v>106</v>
      </c>
      <c r="E52" s="77" t="s">
        <v>35</v>
      </c>
      <c r="F52" s="83" t="s">
        <v>41</v>
      </c>
      <c r="G52" s="83"/>
      <c r="H52" s="83"/>
      <c r="I52" s="77">
        <v>1</v>
      </c>
      <c r="J52" s="84"/>
      <c r="K52" s="78"/>
      <c r="L52" s="74">
        <v>5</v>
      </c>
      <c r="M52" s="79">
        <v>17697</v>
      </c>
      <c r="N52" s="85">
        <v>1</v>
      </c>
      <c r="O52" s="85"/>
      <c r="P52" s="79">
        <v>2.1</v>
      </c>
      <c r="Q52" s="79">
        <f t="shared" si="29"/>
        <v>37163.700000000004</v>
      </c>
      <c r="R52" s="80">
        <f>IF(H52&gt;0,25%,0)</f>
        <v>0</v>
      </c>
      <c r="S52" s="81">
        <f>ROUND((Q52+U52)*R52,2)</f>
        <v>0</v>
      </c>
      <c r="T52" s="82">
        <f t="shared" ref="T52:T63" si="35">IF(I52&gt;0,10%,0)</f>
        <v>0.1</v>
      </c>
      <c r="U52" s="81">
        <f>ROUND(Q52*T52*N52,2)</f>
        <v>3716.37</v>
      </c>
      <c r="V52" s="86">
        <v>0.3</v>
      </c>
      <c r="W52" s="53">
        <f t="shared" si="30"/>
        <v>5309.0999999999995</v>
      </c>
      <c r="X52" s="18">
        <f t="shared" si="31"/>
        <v>46189.17</v>
      </c>
      <c r="Y52" s="1"/>
      <c r="AA52" s="19" t="str">
        <f>C52</f>
        <v>Токсамбаева К.К.</v>
      </c>
      <c r="AB52" s="20">
        <f>N52</f>
        <v>1</v>
      </c>
      <c r="AC52" s="20">
        <f>X52</f>
        <v>46189.17</v>
      </c>
      <c r="AD52" s="37"/>
      <c r="AE52" s="19"/>
      <c r="AF52" s="21"/>
      <c r="AG52" s="20"/>
    </row>
    <row r="53" spans="2:35" ht="15" x14ac:dyDescent="0.25">
      <c r="B53" s="77">
        <v>43</v>
      </c>
      <c r="C53" s="75" t="s">
        <v>108</v>
      </c>
      <c r="D53" s="76" t="s">
        <v>109</v>
      </c>
      <c r="E53" s="77" t="s">
        <v>35</v>
      </c>
      <c r="F53" s="83" t="s">
        <v>41</v>
      </c>
      <c r="G53" s="83"/>
      <c r="H53" s="83"/>
      <c r="I53" s="77">
        <v>1</v>
      </c>
      <c r="J53" s="84"/>
      <c r="K53" s="78"/>
      <c r="L53" s="74">
        <v>2</v>
      </c>
      <c r="M53" s="79">
        <v>17697</v>
      </c>
      <c r="N53" s="85">
        <v>0.5</v>
      </c>
      <c r="O53" s="85"/>
      <c r="P53" s="79">
        <v>1.71</v>
      </c>
      <c r="Q53" s="79">
        <f t="shared" si="29"/>
        <v>30261.87</v>
      </c>
      <c r="R53" s="80">
        <f t="shared" ref="R53:R63" si="36">IF(H53&gt;0,25%,0)</f>
        <v>0</v>
      </c>
      <c r="S53" s="81">
        <f t="shared" ref="S53:S63" si="37">ROUND((Q53+U53)*R53,2)</f>
        <v>0</v>
      </c>
      <c r="T53" s="82">
        <f t="shared" si="35"/>
        <v>0.1</v>
      </c>
      <c r="U53" s="81">
        <f t="shared" ref="U53:U63" si="38">ROUND(Q53*T53*N53,2)</f>
        <v>1513.09</v>
      </c>
      <c r="V53" s="86"/>
      <c r="W53" s="53"/>
      <c r="X53" s="18">
        <f t="shared" si="31"/>
        <v>16644.03</v>
      </c>
      <c r="Y53" s="1"/>
      <c r="AA53" s="19" t="str">
        <f>C53</f>
        <v>Вакансия</v>
      </c>
      <c r="AB53" s="20">
        <f>N53</f>
        <v>0.5</v>
      </c>
      <c r="AC53" s="20">
        <f>X53</f>
        <v>16644.03</v>
      </c>
      <c r="AD53" s="37"/>
      <c r="AE53" s="19"/>
      <c r="AF53" s="21"/>
      <c r="AG53" s="20"/>
    </row>
    <row r="54" spans="2:35" ht="15" x14ac:dyDescent="0.25">
      <c r="B54" s="77">
        <v>44</v>
      </c>
      <c r="C54" s="75" t="s">
        <v>110</v>
      </c>
      <c r="D54" s="76" t="s">
        <v>111</v>
      </c>
      <c r="E54" s="77" t="s">
        <v>35</v>
      </c>
      <c r="F54" s="83" t="s">
        <v>41</v>
      </c>
      <c r="G54" s="83"/>
      <c r="H54" s="83"/>
      <c r="I54" s="77">
        <v>1</v>
      </c>
      <c r="J54" s="84"/>
      <c r="K54" s="78"/>
      <c r="L54" s="74">
        <v>3</v>
      </c>
      <c r="M54" s="79">
        <v>17697</v>
      </c>
      <c r="N54" s="85">
        <v>0.5</v>
      </c>
      <c r="O54" s="85"/>
      <c r="P54" s="79">
        <v>1.83</v>
      </c>
      <c r="Q54" s="79">
        <f t="shared" si="29"/>
        <v>32385.510000000002</v>
      </c>
      <c r="R54" s="80">
        <f t="shared" si="36"/>
        <v>0</v>
      </c>
      <c r="S54" s="81">
        <f t="shared" si="37"/>
        <v>0</v>
      </c>
      <c r="T54" s="82">
        <f t="shared" si="35"/>
        <v>0.1</v>
      </c>
      <c r="U54" s="81">
        <f t="shared" si="38"/>
        <v>1619.28</v>
      </c>
      <c r="V54" s="86"/>
      <c r="W54" s="53"/>
      <c r="X54" s="18">
        <f t="shared" si="31"/>
        <v>17812.04</v>
      </c>
      <c r="AA54" s="19" t="str">
        <f t="shared" si="32"/>
        <v>Гребенева О .Я.</v>
      </c>
      <c r="AB54" s="20">
        <f t="shared" si="33"/>
        <v>0.5</v>
      </c>
      <c r="AC54" s="20">
        <f t="shared" si="34"/>
        <v>17812.04</v>
      </c>
      <c r="AD54" s="3"/>
      <c r="AE54" s="19"/>
      <c r="AF54" s="21"/>
      <c r="AG54" s="20"/>
    </row>
    <row r="55" spans="2:35" ht="30" x14ac:dyDescent="0.25">
      <c r="B55" s="77">
        <v>45</v>
      </c>
      <c r="C55" s="75" t="str">
        <f>'[1]РАСЧЁТЫ по действующей сист16'!B101</f>
        <v>Бесенбаева Е.К.</v>
      </c>
      <c r="D55" s="87" t="s">
        <v>112</v>
      </c>
      <c r="E55" s="77" t="s">
        <v>35</v>
      </c>
      <c r="F55" s="77" t="s">
        <v>41</v>
      </c>
      <c r="G55" s="77"/>
      <c r="H55" s="77"/>
      <c r="I55" s="77">
        <v>1</v>
      </c>
      <c r="J55" s="84"/>
      <c r="K55" s="84"/>
      <c r="L55" s="77">
        <v>2</v>
      </c>
      <c r="M55" s="79">
        <v>17697</v>
      </c>
      <c r="N55" s="85">
        <v>1</v>
      </c>
      <c r="O55" s="85"/>
      <c r="P55" s="85">
        <v>1.71</v>
      </c>
      <c r="Q55" s="79">
        <f t="shared" si="29"/>
        <v>30261.87</v>
      </c>
      <c r="R55" s="80">
        <f t="shared" si="36"/>
        <v>0</v>
      </c>
      <c r="S55" s="81">
        <f t="shared" si="37"/>
        <v>0</v>
      </c>
      <c r="T55" s="82">
        <f t="shared" si="35"/>
        <v>0.1</v>
      </c>
      <c r="U55" s="81">
        <f t="shared" si="38"/>
        <v>3026.19</v>
      </c>
      <c r="V55" s="86">
        <v>0.3</v>
      </c>
      <c r="W55" s="53">
        <f t="shared" si="30"/>
        <v>5309.0999999999995</v>
      </c>
      <c r="X55" s="18">
        <f t="shared" si="31"/>
        <v>38597.160000000003</v>
      </c>
      <c r="AA55" s="19" t="str">
        <f t="shared" si="32"/>
        <v>Бесенбаева Е.К.</v>
      </c>
      <c r="AB55" s="20">
        <f t="shared" si="33"/>
        <v>1</v>
      </c>
      <c r="AC55" s="20">
        <f t="shared" si="34"/>
        <v>38597.160000000003</v>
      </c>
      <c r="AD55" s="3"/>
      <c r="AE55" s="19"/>
      <c r="AF55" s="21"/>
      <c r="AG55" s="20"/>
    </row>
    <row r="56" spans="2:35" ht="30" x14ac:dyDescent="0.25">
      <c r="B56" s="74">
        <v>46</v>
      </c>
      <c r="C56" s="75" t="s">
        <v>108</v>
      </c>
      <c r="D56" s="87" t="s">
        <v>113</v>
      </c>
      <c r="E56" s="77" t="s">
        <v>28</v>
      </c>
      <c r="F56" s="77" t="s">
        <v>41</v>
      </c>
      <c r="G56" s="77"/>
      <c r="H56" s="77"/>
      <c r="I56" s="77">
        <v>1</v>
      </c>
      <c r="J56" s="84"/>
      <c r="K56" s="84"/>
      <c r="L56" s="77">
        <v>2</v>
      </c>
      <c r="M56" s="79">
        <v>17697</v>
      </c>
      <c r="N56" s="85">
        <v>1</v>
      </c>
      <c r="O56" s="85"/>
      <c r="P56" s="77">
        <v>1.71</v>
      </c>
      <c r="Q56" s="79">
        <f t="shared" si="29"/>
        <v>30261.87</v>
      </c>
      <c r="R56" s="80">
        <f t="shared" si="36"/>
        <v>0</v>
      </c>
      <c r="S56" s="81">
        <f t="shared" si="37"/>
        <v>0</v>
      </c>
      <c r="T56" s="82">
        <f t="shared" si="35"/>
        <v>0.1</v>
      </c>
      <c r="U56" s="81">
        <f t="shared" si="38"/>
        <v>3026.19</v>
      </c>
      <c r="V56" s="86">
        <v>0.3</v>
      </c>
      <c r="W56" s="53">
        <f t="shared" ref="W56" si="39">M56*V56*N56</f>
        <v>5309.0999999999995</v>
      </c>
      <c r="X56" s="18">
        <f t="shared" si="31"/>
        <v>38597.160000000003</v>
      </c>
      <c r="AA56" s="19" t="str">
        <f t="shared" si="32"/>
        <v>Вакансия</v>
      </c>
      <c r="AB56" s="20">
        <f t="shared" si="33"/>
        <v>1</v>
      </c>
      <c r="AC56" s="20">
        <f t="shared" si="34"/>
        <v>38597.160000000003</v>
      </c>
      <c r="AD56" s="3"/>
      <c r="AE56" s="19"/>
      <c r="AF56" s="21"/>
      <c r="AG56" s="20"/>
    </row>
    <row r="57" spans="2:35" ht="45" x14ac:dyDescent="0.25">
      <c r="B57" s="77">
        <v>47</v>
      </c>
      <c r="C57" s="75" t="str">
        <f>'[1]РАСЧЁТЫ по действующей сист16'!B113</f>
        <v>Бадажков В.</v>
      </c>
      <c r="D57" s="87" t="s">
        <v>114</v>
      </c>
      <c r="E57" s="77" t="s">
        <v>35</v>
      </c>
      <c r="F57" s="77" t="s">
        <v>41</v>
      </c>
      <c r="G57" s="77"/>
      <c r="H57" s="77"/>
      <c r="I57" s="77">
        <v>1</v>
      </c>
      <c r="J57" s="84"/>
      <c r="K57" s="84"/>
      <c r="L57" s="77">
        <v>2</v>
      </c>
      <c r="M57" s="79">
        <v>17697</v>
      </c>
      <c r="N57" s="85">
        <v>1</v>
      </c>
      <c r="O57" s="85"/>
      <c r="P57" s="77">
        <v>1.71</v>
      </c>
      <c r="Q57" s="79">
        <f t="shared" si="29"/>
        <v>30261.87</v>
      </c>
      <c r="R57" s="80">
        <f t="shared" si="36"/>
        <v>0</v>
      </c>
      <c r="S57" s="81">
        <f t="shared" si="37"/>
        <v>0</v>
      </c>
      <c r="T57" s="82">
        <f t="shared" si="35"/>
        <v>0.1</v>
      </c>
      <c r="U57" s="81">
        <f t="shared" si="38"/>
        <v>3026.19</v>
      </c>
      <c r="V57" s="86"/>
      <c r="W57" s="18"/>
      <c r="X57" s="18">
        <f t="shared" si="31"/>
        <v>33288.06</v>
      </c>
      <c r="AA57" s="19" t="str">
        <f t="shared" si="32"/>
        <v>Бадажков В.</v>
      </c>
      <c r="AB57" s="20">
        <f t="shared" si="33"/>
        <v>1</v>
      </c>
      <c r="AC57" s="20">
        <f t="shared" si="34"/>
        <v>33288.06</v>
      </c>
      <c r="AD57" s="3"/>
      <c r="AE57" s="19"/>
      <c r="AF57" s="21"/>
      <c r="AG57" s="20"/>
    </row>
    <row r="58" spans="2:35" ht="15" x14ac:dyDescent="0.25">
      <c r="B58" s="74">
        <v>48</v>
      </c>
      <c r="C58" s="75" t="str">
        <f>'[1]РАСЧЁТЫ по действующей сист16'!B114</f>
        <v>Парада В.</v>
      </c>
      <c r="D58" s="87" t="s">
        <v>115</v>
      </c>
      <c r="E58" s="77" t="s">
        <v>35</v>
      </c>
      <c r="F58" s="77" t="s">
        <v>41</v>
      </c>
      <c r="G58" s="77"/>
      <c r="H58" s="77"/>
      <c r="I58" s="77">
        <v>1</v>
      </c>
      <c r="J58" s="84"/>
      <c r="K58" s="84"/>
      <c r="L58" s="77">
        <v>5</v>
      </c>
      <c r="M58" s="79">
        <v>17697</v>
      </c>
      <c r="N58" s="85">
        <v>1</v>
      </c>
      <c r="O58" s="85"/>
      <c r="P58" s="77">
        <v>1.96</v>
      </c>
      <c r="Q58" s="79">
        <f t="shared" si="29"/>
        <v>34686.120000000003</v>
      </c>
      <c r="R58" s="80">
        <f t="shared" si="36"/>
        <v>0</v>
      </c>
      <c r="S58" s="81">
        <f t="shared" si="37"/>
        <v>0</v>
      </c>
      <c r="T58" s="82">
        <f t="shared" si="35"/>
        <v>0.1</v>
      </c>
      <c r="U58" s="81">
        <f t="shared" si="38"/>
        <v>3468.61</v>
      </c>
      <c r="V58" s="86"/>
      <c r="W58" s="18"/>
      <c r="X58" s="18">
        <f t="shared" si="31"/>
        <v>38154.730000000003</v>
      </c>
      <c r="AA58" s="19" t="str">
        <f>C58</f>
        <v>Парада В.</v>
      </c>
      <c r="AB58" s="20">
        <f t="shared" si="33"/>
        <v>1</v>
      </c>
      <c r="AC58" s="20">
        <f>X58</f>
        <v>38154.730000000003</v>
      </c>
      <c r="AD58" s="3"/>
      <c r="AE58" s="19"/>
      <c r="AF58" s="21"/>
      <c r="AG58" s="20"/>
    </row>
    <row r="59" spans="2:35" ht="15" x14ac:dyDescent="0.25">
      <c r="B59" s="74">
        <v>49</v>
      </c>
      <c r="C59" s="75" t="s">
        <v>116</v>
      </c>
      <c r="D59" s="87" t="s">
        <v>117</v>
      </c>
      <c r="E59" s="77" t="s">
        <v>118</v>
      </c>
      <c r="F59" s="77" t="s">
        <v>41</v>
      </c>
      <c r="G59" s="77"/>
      <c r="H59" s="77"/>
      <c r="I59" s="77">
        <v>1</v>
      </c>
      <c r="J59" s="84"/>
      <c r="K59" s="84"/>
      <c r="L59" s="77">
        <v>4</v>
      </c>
      <c r="M59" s="79">
        <v>17697</v>
      </c>
      <c r="N59" s="85">
        <v>0.5</v>
      </c>
      <c r="O59" s="85"/>
      <c r="P59" s="77">
        <v>1.96</v>
      </c>
      <c r="Q59" s="79">
        <f t="shared" si="29"/>
        <v>34686.120000000003</v>
      </c>
      <c r="R59" s="80">
        <f t="shared" si="36"/>
        <v>0</v>
      </c>
      <c r="S59" s="81">
        <f t="shared" si="37"/>
        <v>0</v>
      </c>
      <c r="T59" s="82">
        <f t="shared" si="35"/>
        <v>0.1</v>
      </c>
      <c r="U59" s="81">
        <f t="shared" si="38"/>
        <v>1734.31</v>
      </c>
      <c r="V59" s="86"/>
      <c r="W59" s="18"/>
      <c r="X59" s="18">
        <f t="shared" si="31"/>
        <v>19077.37</v>
      </c>
      <c r="AA59" s="19" t="str">
        <f>C59</f>
        <v>Жайлауов А. М.</v>
      </c>
      <c r="AB59" s="20">
        <f t="shared" si="33"/>
        <v>0.5</v>
      </c>
      <c r="AC59" s="20">
        <f>X59</f>
        <v>19077.37</v>
      </c>
      <c r="AD59" s="3"/>
      <c r="AE59" s="19"/>
      <c r="AF59" s="21"/>
      <c r="AG59" s="20"/>
    </row>
    <row r="60" spans="2:35" ht="15" x14ac:dyDescent="0.25">
      <c r="B60" s="77">
        <v>50</v>
      </c>
      <c r="C60" s="75" t="str">
        <f>'[1]РАСЧЁТЫ по действующей сист16'!B117</f>
        <v>Абуталипов Н.</v>
      </c>
      <c r="D60" s="88" t="s">
        <v>119</v>
      </c>
      <c r="E60" s="77" t="s">
        <v>118</v>
      </c>
      <c r="F60" s="77" t="s">
        <v>41</v>
      </c>
      <c r="G60" s="77"/>
      <c r="H60" s="77"/>
      <c r="I60" s="77">
        <v>1</v>
      </c>
      <c r="J60" s="84"/>
      <c r="K60" s="84"/>
      <c r="L60" s="77">
        <v>1</v>
      </c>
      <c r="M60" s="79">
        <v>17697</v>
      </c>
      <c r="N60" s="85">
        <v>1</v>
      </c>
      <c r="O60" s="85"/>
      <c r="P60" s="77">
        <v>1.6</v>
      </c>
      <c r="Q60" s="79">
        <f t="shared" si="29"/>
        <v>28315.200000000001</v>
      </c>
      <c r="R60" s="80">
        <f t="shared" si="36"/>
        <v>0</v>
      </c>
      <c r="S60" s="81">
        <f t="shared" si="37"/>
        <v>0</v>
      </c>
      <c r="T60" s="82">
        <f t="shared" si="35"/>
        <v>0.1</v>
      </c>
      <c r="U60" s="81">
        <f t="shared" si="38"/>
        <v>2831.52</v>
      </c>
      <c r="V60" s="86"/>
      <c r="W60" s="18">
        <v>8632.68</v>
      </c>
      <c r="X60" s="18">
        <f t="shared" si="31"/>
        <v>39779.4</v>
      </c>
      <c r="AA60" s="19" t="str">
        <f t="shared" si="32"/>
        <v>Абуталипов Н.</v>
      </c>
      <c r="AB60" s="20">
        <f>N60</f>
        <v>1</v>
      </c>
      <c r="AC60" s="20">
        <f t="shared" si="34"/>
        <v>39779.4</v>
      </c>
      <c r="AD60" s="22"/>
      <c r="AE60" s="19"/>
      <c r="AF60" s="21"/>
      <c r="AG60" s="20"/>
    </row>
    <row r="61" spans="2:35" ht="15" x14ac:dyDescent="0.25">
      <c r="B61" s="74">
        <v>51</v>
      </c>
      <c r="C61" s="75" t="str">
        <f>'[1]РАСЧЁТЫ по действующей сист16'!B118</f>
        <v>Медиев М.</v>
      </c>
      <c r="D61" s="88" t="s">
        <v>119</v>
      </c>
      <c r="E61" s="77" t="s">
        <v>118</v>
      </c>
      <c r="F61" s="77" t="s">
        <v>41</v>
      </c>
      <c r="G61" s="77"/>
      <c r="H61" s="77"/>
      <c r="I61" s="77">
        <v>1</v>
      </c>
      <c r="J61" s="84"/>
      <c r="K61" s="84"/>
      <c r="L61" s="77">
        <v>1</v>
      </c>
      <c r="M61" s="79">
        <v>17697</v>
      </c>
      <c r="N61" s="85">
        <v>1</v>
      </c>
      <c r="O61" s="85"/>
      <c r="P61" s="77">
        <v>1.6</v>
      </c>
      <c r="Q61" s="79">
        <f t="shared" si="29"/>
        <v>28315.200000000001</v>
      </c>
      <c r="R61" s="80">
        <f t="shared" si="36"/>
        <v>0</v>
      </c>
      <c r="S61" s="81">
        <f t="shared" si="37"/>
        <v>0</v>
      </c>
      <c r="T61" s="82">
        <f t="shared" si="35"/>
        <v>0.1</v>
      </c>
      <c r="U61" s="81">
        <f t="shared" si="38"/>
        <v>2831.52</v>
      </c>
      <c r="V61" s="86"/>
      <c r="W61" s="18">
        <v>8632.68</v>
      </c>
      <c r="X61" s="18">
        <f t="shared" si="31"/>
        <v>39779.4</v>
      </c>
      <c r="AA61" s="19" t="str">
        <f t="shared" si="32"/>
        <v>Медиев М.</v>
      </c>
      <c r="AB61" s="20">
        <f>N61</f>
        <v>1</v>
      </c>
      <c r="AC61" s="20">
        <f t="shared" si="34"/>
        <v>39779.4</v>
      </c>
      <c r="AD61" s="37"/>
      <c r="AE61" s="19"/>
      <c r="AF61" s="21"/>
      <c r="AG61" s="20"/>
    </row>
    <row r="62" spans="2:35" ht="15" x14ac:dyDescent="0.25">
      <c r="B62" s="77">
        <v>52</v>
      </c>
      <c r="C62" s="75" t="str">
        <f>'[1]РАСЧЁТЫ по действующей сист16'!B119</f>
        <v>Уралтаев С.</v>
      </c>
      <c r="D62" s="88" t="s">
        <v>119</v>
      </c>
      <c r="E62" s="77" t="s">
        <v>118</v>
      </c>
      <c r="F62" s="77" t="s">
        <v>41</v>
      </c>
      <c r="G62" s="77"/>
      <c r="H62" s="77"/>
      <c r="I62" s="77">
        <v>1</v>
      </c>
      <c r="J62" s="84"/>
      <c r="K62" s="84"/>
      <c r="L62" s="77">
        <v>1</v>
      </c>
      <c r="M62" s="79">
        <v>17697</v>
      </c>
      <c r="N62" s="85">
        <v>1</v>
      </c>
      <c r="O62" s="85"/>
      <c r="P62" s="77">
        <v>1.6</v>
      </c>
      <c r="Q62" s="79">
        <f t="shared" si="29"/>
        <v>28315.200000000001</v>
      </c>
      <c r="R62" s="80">
        <f t="shared" si="36"/>
        <v>0</v>
      </c>
      <c r="S62" s="81">
        <f t="shared" si="37"/>
        <v>0</v>
      </c>
      <c r="T62" s="82">
        <f t="shared" si="35"/>
        <v>0.1</v>
      </c>
      <c r="U62" s="81">
        <f t="shared" si="38"/>
        <v>2831.52</v>
      </c>
      <c r="V62" s="86"/>
      <c r="W62" s="18">
        <v>8632.68</v>
      </c>
      <c r="X62" s="18">
        <f t="shared" si="31"/>
        <v>39779.4</v>
      </c>
      <c r="AA62" s="19" t="str">
        <f t="shared" si="32"/>
        <v>Уралтаев С.</v>
      </c>
      <c r="AB62" s="20">
        <f>N62</f>
        <v>1</v>
      </c>
      <c r="AC62" s="20">
        <f t="shared" si="34"/>
        <v>39779.4</v>
      </c>
      <c r="AD62" s="37"/>
      <c r="AE62" s="19"/>
      <c r="AF62" s="21"/>
      <c r="AG62" s="20"/>
    </row>
    <row r="63" spans="2:35" ht="15.75" thickBot="1" x14ac:dyDescent="0.3">
      <c r="B63" s="74">
        <v>53</v>
      </c>
      <c r="C63" s="75" t="str">
        <f>'[1]РАСЧЁТЫ по действующей сист16'!B120</f>
        <v>Сипатов А.М.</v>
      </c>
      <c r="D63" s="89" t="s">
        <v>120</v>
      </c>
      <c r="E63" s="77" t="s">
        <v>118</v>
      </c>
      <c r="F63" s="77" t="s">
        <v>41</v>
      </c>
      <c r="G63" s="90"/>
      <c r="H63" s="90"/>
      <c r="I63" s="90">
        <v>1</v>
      </c>
      <c r="J63" s="91"/>
      <c r="K63" s="91"/>
      <c r="L63" s="90">
        <v>2</v>
      </c>
      <c r="M63" s="79">
        <v>17697</v>
      </c>
      <c r="N63" s="92">
        <v>1</v>
      </c>
      <c r="O63" s="92"/>
      <c r="P63" s="77">
        <v>1.71</v>
      </c>
      <c r="Q63" s="79">
        <f t="shared" si="29"/>
        <v>30261.87</v>
      </c>
      <c r="R63" s="80">
        <f t="shared" si="36"/>
        <v>0</v>
      </c>
      <c r="S63" s="81">
        <f t="shared" si="37"/>
        <v>0</v>
      </c>
      <c r="T63" s="82">
        <f t="shared" si="35"/>
        <v>0.1</v>
      </c>
      <c r="U63" s="81">
        <f t="shared" si="38"/>
        <v>3026.19</v>
      </c>
      <c r="V63" s="93"/>
      <c r="W63" s="94"/>
      <c r="X63" s="18">
        <f t="shared" si="31"/>
        <v>33288.06</v>
      </c>
      <c r="AA63" s="19" t="str">
        <f t="shared" si="32"/>
        <v>Сипатов А.М.</v>
      </c>
      <c r="AB63" s="20">
        <f>N63</f>
        <v>1</v>
      </c>
      <c r="AC63" s="20">
        <f>X63</f>
        <v>33288.06</v>
      </c>
      <c r="AE63" s="19"/>
      <c r="AF63" s="21"/>
      <c r="AG63" s="20"/>
    </row>
    <row r="64" spans="2:35" ht="13.5" thickBot="1" x14ac:dyDescent="0.3">
      <c r="B64" s="483" t="s">
        <v>121</v>
      </c>
      <c r="C64" s="484"/>
      <c r="D64" s="484"/>
      <c r="E64" s="484"/>
      <c r="F64" s="95"/>
      <c r="G64" s="95"/>
      <c r="H64" s="95"/>
      <c r="I64" s="95"/>
      <c r="J64" s="95"/>
      <c r="K64" s="95"/>
      <c r="L64" s="95"/>
      <c r="M64" s="95"/>
      <c r="N64" s="96">
        <f>SUM(N51:N63)</f>
        <v>11.5</v>
      </c>
      <c r="O64" s="96"/>
      <c r="P64" s="96"/>
      <c r="Q64" s="96">
        <f>SUM(Q51:Q63)</f>
        <v>412340.10000000003</v>
      </c>
      <c r="R64" s="96">
        <f>SUM(R51:R63)</f>
        <v>0</v>
      </c>
      <c r="S64" s="96">
        <f>SUM(S51:S63)</f>
        <v>0</v>
      </c>
      <c r="T64" s="96"/>
      <c r="U64" s="96">
        <f>SUM(U51:U63)</f>
        <v>36367.350000000006</v>
      </c>
      <c r="V64" s="96">
        <f>SUM(V51:V63)</f>
        <v>1.2</v>
      </c>
      <c r="W64" s="96">
        <f>SUM(W51:W63)</f>
        <v>47134.439999999995</v>
      </c>
      <c r="X64" s="97">
        <f>ROUND(SUM(X51:X63),2)</f>
        <v>447175.15</v>
      </c>
      <c r="AA64" s="14" t="s">
        <v>122</v>
      </c>
      <c r="AB64" s="15">
        <f>SUM(AB51:AB63)</f>
        <v>11.5</v>
      </c>
      <c r="AC64" s="15">
        <f>SUM(AC51:AC63)</f>
        <v>447175.15000000008</v>
      </c>
      <c r="AD64" s="3"/>
      <c r="AE64" s="14" t="s">
        <v>123</v>
      </c>
      <c r="AF64" s="15">
        <f>SUM(AF51:AF63)</f>
        <v>0</v>
      </c>
      <c r="AG64" s="15">
        <f>SUM(AG51:AG63)</f>
        <v>0</v>
      </c>
    </row>
    <row r="65" spans="2:33" ht="13.5" thickBot="1" x14ac:dyDescent="0.3">
      <c r="B65" s="485" t="s">
        <v>124</v>
      </c>
      <c r="C65" s="486"/>
      <c r="D65" s="486"/>
      <c r="E65" s="486"/>
      <c r="F65" s="98"/>
      <c r="G65" s="98"/>
      <c r="H65" s="98"/>
      <c r="I65" s="98"/>
      <c r="J65" s="98"/>
      <c r="K65" s="98"/>
      <c r="L65" s="98"/>
      <c r="M65" s="98"/>
      <c r="N65" s="99">
        <f>N15+N50+N64</f>
        <v>48.25</v>
      </c>
      <c r="O65" s="99"/>
      <c r="P65" s="99"/>
      <c r="Q65" s="99">
        <f>Q15+Q50+Q64</f>
        <v>2410862.31</v>
      </c>
      <c r="R65" s="99">
        <f>R15+R50+R64</f>
        <v>0</v>
      </c>
      <c r="S65" s="99">
        <f>S15+S50+S64</f>
        <v>0</v>
      </c>
      <c r="T65" s="99"/>
      <c r="U65" s="99">
        <f>U15+U50+U64</f>
        <v>232936.82000000004</v>
      </c>
      <c r="V65" s="99">
        <f>V15+V50+V64</f>
        <v>13.399999999999999</v>
      </c>
      <c r="W65" s="99">
        <f>W15+W50+W64</f>
        <v>315686.41499999998</v>
      </c>
      <c r="X65" s="100">
        <f>ROUND(X15+X50+X64,2)</f>
        <v>2877990.9</v>
      </c>
      <c r="AA65" s="23" t="s">
        <v>125</v>
      </c>
      <c r="AB65" s="18">
        <f>AB15+AB50+AB64</f>
        <v>24.75</v>
      </c>
      <c r="AC65" s="18">
        <f>AC15+AC50+AC64</f>
        <v>1008001.97</v>
      </c>
      <c r="AD65" s="22"/>
      <c r="AE65" s="23" t="s">
        <v>126</v>
      </c>
      <c r="AF65" s="18">
        <f>AF15+AF50+AF64</f>
        <v>25</v>
      </c>
      <c r="AG65" s="18">
        <f>AG15+AG50+AG64</f>
        <v>1800616.6899999997</v>
      </c>
    </row>
    <row r="66" spans="2:33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AA66" s="37"/>
      <c r="AB66" s="37"/>
      <c r="AC66" s="37"/>
      <c r="AD66" s="37"/>
      <c r="AE66" s="37"/>
      <c r="AF66" s="37"/>
      <c r="AG66" s="37"/>
    </row>
    <row r="67" spans="2:33" ht="15" x14ac:dyDescent="0.25">
      <c r="C67" s="37" t="s">
        <v>27</v>
      </c>
      <c r="D67" s="487"/>
      <c r="E67" s="487"/>
      <c r="F67" s="40"/>
      <c r="G67" s="39"/>
      <c r="H67" s="39"/>
      <c r="I67" s="39"/>
      <c r="L67" s="487" t="s">
        <v>127</v>
      </c>
      <c r="M67" s="487"/>
      <c r="N67" s="488"/>
      <c r="O67" s="24"/>
      <c r="P67" s="25"/>
      <c r="Q67" s="2"/>
      <c r="R67" s="2"/>
      <c r="S67" s="2"/>
      <c r="T67" s="2"/>
      <c r="U67" s="3"/>
      <c r="W67" s="1"/>
      <c r="X67" s="3"/>
      <c r="AA67" s="37"/>
      <c r="AB67" s="37"/>
      <c r="AC67" s="37"/>
      <c r="AD67" s="37"/>
      <c r="AE67" s="37"/>
      <c r="AF67" s="37"/>
      <c r="AG67" s="37"/>
    </row>
    <row r="68" spans="2:33" ht="15" x14ac:dyDescent="0.25">
      <c r="D68" s="478" t="s">
        <v>128</v>
      </c>
      <c r="E68" s="478"/>
      <c r="F68" s="478"/>
      <c r="G68" s="39"/>
      <c r="H68" s="39"/>
      <c r="I68" s="39"/>
      <c r="J68" s="36"/>
      <c r="K68" s="36"/>
      <c r="L68" s="479" t="s">
        <v>129</v>
      </c>
      <c r="M68" s="479"/>
      <c r="N68" s="480"/>
      <c r="P68" s="2"/>
      <c r="Q68" s="2"/>
      <c r="R68" s="2"/>
      <c r="S68" s="2"/>
      <c r="T68" s="2"/>
      <c r="U68" s="2"/>
      <c r="V68" s="2"/>
      <c r="W68" s="26"/>
      <c r="X68" s="3"/>
      <c r="AA68" s="22"/>
      <c r="AB68" s="22"/>
      <c r="AC68" s="22"/>
      <c r="AD68" s="22"/>
      <c r="AE68" s="489" t="s">
        <v>130</v>
      </c>
      <c r="AF68" s="18" t="s">
        <v>131</v>
      </c>
      <c r="AG68" s="18" t="s">
        <v>4</v>
      </c>
    </row>
    <row r="69" spans="2:33" x14ac:dyDescent="0.25">
      <c r="F69" s="36"/>
      <c r="G69" s="36"/>
      <c r="H69" s="36"/>
      <c r="I69" s="36"/>
      <c r="J69" s="36"/>
      <c r="K69" s="36"/>
      <c r="L69" s="39"/>
      <c r="M69" s="39"/>
      <c r="P69" s="2"/>
      <c r="Q69" s="2"/>
      <c r="R69" s="2"/>
      <c r="S69" s="2"/>
      <c r="T69" s="2"/>
      <c r="U69" s="3"/>
      <c r="V69" s="3"/>
      <c r="X69" s="3"/>
      <c r="AA69" s="37"/>
      <c r="AC69" s="3"/>
      <c r="AE69" s="489"/>
      <c r="AF69" s="21">
        <f>AB65+AF65</f>
        <v>49.75</v>
      </c>
      <c r="AG69" s="21">
        <f>AC65+AG65</f>
        <v>2808618.6599999997</v>
      </c>
    </row>
    <row r="70" spans="2:33" ht="15" x14ac:dyDescent="0.25">
      <c r="C70" s="37" t="s">
        <v>40</v>
      </c>
      <c r="D70" s="487"/>
      <c r="E70" s="487"/>
      <c r="F70" s="40"/>
      <c r="G70" s="39"/>
      <c r="H70" s="39"/>
      <c r="I70" s="39"/>
      <c r="L70" s="487" t="s">
        <v>39</v>
      </c>
      <c r="M70" s="487"/>
      <c r="N70" s="488"/>
      <c r="X70" s="1"/>
      <c r="AA70" s="1"/>
      <c r="AB70" s="37"/>
      <c r="AC70" s="1"/>
      <c r="AD70" s="1"/>
      <c r="AE70" s="1"/>
      <c r="AF70" s="26"/>
      <c r="AG70" s="26"/>
    </row>
    <row r="71" spans="2:33" ht="15" x14ac:dyDescent="0.25">
      <c r="D71" s="478" t="s">
        <v>128</v>
      </c>
      <c r="E71" s="478"/>
      <c r="F71" s="478"/>
      <c r="G71" s="39"/>
      <c r="H71" s="39"/>
      <c r="I71" s="39"/>
      <c r="L71" s="479" t="s">
        <v>129</v>
      </c>
      <c r="M71" s="479"/>
      <c r="N71" s="480"/>
      <c r="U71" s="26"/>
      <c r="AA71" s="1"/>
      <c r="AB71" s="1"/>
      <c r="AC71" s="1"/>
      <c r="AD71" s="1"/>
      <c r="AE71" s="20" t="s">
        <v>132</v>
      </c>
      <c r="AF71" s="21">
        <f>N65</f>
        <v>48.25</v>
      </c>
      <c r="AG71" s="21">
        <f>X65</f>
        <v>2877990.9</v>
      </c>
    </row>
    <row r="72" spans="2:33" x14ac:dyDescent="0.25">
      <c r="C72" s="27"/>
      <c r="AA72" s="3"/>
      <c r="AB72" s="3"/>
      <c r="AC72" s="3"/>
      <c r="AD72" s="3"/>
      <c r="AE72" s="3"/>
      <c r="AF72" s="25"/>
      <c r="AG72" s="25"/>
    </row>
    <row r="73" spans="2:33" x14ac:dyDescent="0.25">
      <c r="C73" s="28" t="s">
        <v>133</v>
      </c>
      <c r="X73" s="1"/>
      <c r="AA73" s="25"/>
      <c r="AF73" s="3"/>
    </row>
    <row r="74" spans="2:33" x14ac:dyDescent="0.25">
      <c r="N74" s="1"/>
      <c r="Q74" s="1"/>
      <c r="R74" s="1"/>
      <c r="S74" s="1"/>
      <c r="T74" s="1"/>
      <c r="U74" s="1"/>
      <c r="AC74" s="3"/>
      <c r="AE74" s="20" t="s">
        <v>134</v>
      </c>
      <c r="AF74" s="21">
        <f>AF69-AF71</f>
        <v>1.5</v>
      </c>
      <c r="AG74" s="21">
        <f>AG69-AG71</f>
        <v>-69372.240000000224</v>
      </c>
    </row>
    <row r="75" spans="2:33" x14ac:dyDescent="0.25">
      <c r="E75" s="1"/>
    </row>
    <row r="76" spans="2:33" x14ac:dyDescent="0.25">
      <c r="J76" s="29"/>
      <c r="K76" s="29"/>
      <c r="N76" s="1"/>
    </row>
    <row r="79" spans="2:33" x14ac:dyDescent="0.25">
      <c r="F79" s="30"/>
      <c r="G79" s="30"/>
      <c r="H79" s="30"/>
      <c r="I79" s="30"/>
    </row>
    <row r="80" spans="2:33" x14ac:dyDescent="0.25">
      <c r="F80" s="30"/>
      <c r="G80" s="30"/>
      <c r="H80" s="30"/>
      <c r="I80" s="30"/>
    </row>
  </sheetData>
  <mergeCells count="48">
    <mergeCell ref="AF7:AF8"/>
    <mergeCell ref="D68:F68"/>
    <mergeCell ref="L68:N68"/>
    <mergeCell ref="AE68:AE69"/>
    <mergeCell ref="D70:E70"/>
    <mergeCell ref="L70:N70"/>
    <mergeCell ref="N7:N8"/>
    <mergeCell ref="V7:W7"/>
    <mergeCell ref="R7:S7"/>
    <mergeCell ref="T7:U7"/>
    <mergeCell ref="O7:O8"/>
    <mergeCell ref="D71:F71"/>
    <mergeCell ref="L71:N71"/>
    <mergeCell ref="AG7:AG8"/>
    <mergeCell ref="B15:E15"/>
    <mergeCell ref="B50:E50"/>
    <mergeCell ref="B64:E64"/>
    <mergeCell ref="B65:E65"/>
    <mergeCell ref="D67:E67"/>
    <mergeCell ref="L67:N67"/>
    <mergeCell ref="X7:X8"/>
    <mergeCell ref="AA7:AA8"/>
    <mergeCell ref="AB7:AB8"/>
    <mergeCell ref="AC7:AC8"/>
    <mergeCell ref="AE7:AE8"/>
    <mergeCell ref="P7:P8"/>
    <mergeCell ref="Q7:Q8"/>
    <mergeCell ref="AE5:AE6"/>
    <mergeCell ref="AF5:AF6"/>
    <mergeCell ref="AG5:AG6"/>
    <mergeCell ref="B7:B8"/>
    <mergeCell ref="C7:C8"/>
    <mergeCell ref="D7:D8"/>
    <mergeCell ref="E7:E8"/>
    <mergeCell ref="F7:F8"/>
    <mergeCell ref="G7:G8"/>
    <mergeCell ref="H7:H8"/>
    <mergeCell ref="AC5:AC6"/>
    <mergeCell ref="I7:I8"/>
    <mergeCell ref="J7:J8"/>
    <mergeCell ref="K7:K8"/>
    <mergeCell ref="L7:L8"/>
    <mergeCell ref="M7:M8"/>
    <mergeCell ref="B2:X2"/>
    <mergeCell ref="B3:X3"/>
    <mergeCell ref="T5:U5"/>
    <mergeCell ref="AA5:AA6"/>
    <mergeCell ref="AB5:AB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62"/>
  <sheetViews>
    <sheetView workbookViewId="0">
      <selection activeCell="T36" sqref="T36"/>
    </sheetView>
  </sheetViews>
  <sheetFormatPr defaultRowHeight="12.75" x14ac:dyDescent="0.25"/>
  <cols>
    <col min="1" max="1" width="3.7109375" style="233" customWidth="1"/>
    <col min="2" max="2" width="19.85546875" style="233" customWidth="1"/>
    <col min="3" max="3" width="22.5703125" style="232" customWidth="1"/>
    <col min="4" max="4" width="11.140625" style="233" customWidth="1"/>
    <col min="5" max="5" width="12.28515625" style="233" customWidth="1"/>
    <col min="6" max="6" width="6.28515625" style="233" customWidth="1"/>
    <col min="7" max="7" width="4.42578125" style="233" hidden="1" customWidth="1"/>
    <col min="8" max="8" width="7" style="233" customWidth="1"/>
    <col min="9" max="9" width="6" style="233" customWidth="1"/>
    <col min="10" max="10" width="6.85546875" style="233" customWidth="1"/>
    <col min="11" max="11" width="5.140625" style="233" customWidth="1"/>
    <col min="12" max="12" width="10.7109375" style="233" customWidth="1"/>
    <col min="13" max="13" width="7.7109375" style="233" customWidth="1"/>
    <col min="14" max="14" width="6.28515625" style="232" customWidth="1"/>
    <col min="15" max="15" width="6.7109375" style="233" customWidth="1"/>
    <col min="16" max="16" width="13.85546875" style="233" customWidth="1"/>
    <col min="17" max="17" width="0.85546875" style="233" hidden="1" customWidth="1"/>
    <col min="18" max="18" width="0.42578125" style="233" hidden="1" customWidth="1"/>
    <col min="19" max="19" width="8.28515625" style="233" customWidth="1"/>
    <col min="20" max="20" width="13.7109375" style="233" customWidth="1"/>
    <col min="21" max="21" width="9.42578125" style="233" customWidth="1"/>
    <col min="22" max="22" width="16.42578125" style="233" customWidth="1"/>
    <col min="23" max="23" width="14.5703125" style="233" customWidth="1"/>
    <col min="24" max="24" width="14.140625" style="233" customWidth="1"/>
    <col min="25" max="25" width="9.140625" style="233" customWidth="1"/>
    <col min="26" max="26" width="41.85546875" style="2" hidden="1" customWidth="1"/>
    <col min="27" max="27" width="9.28515625" style="2" hidden="1" customWidth="1"/>
    <col min="28" max="28" width="14" style="2" hidden="1" customWidth="1"/>
    <col min="29" max="29" width="0" style="2" hidden="1" customWidth="1"/>
    <col min="30" max="30" width="41.42578125" style="2" hidden="1" customWidth="1"/>
    <col min="31" max="31" width="9.28515625" style="2" hidden="1" customWidth="1"/>
    <col min="32" max="32" width="13.7109375" style="2" hidden="1" customWidth="1"/>
    <col min="33" max="33" width="9.140625" style="233"/>
    <col min="34" max="34" width="11.7109375" style="233" bestFit="1" customWidth="1"/>
    <col min="35" max="35" width="9.140625" style="233"/>
    <col min="36" max="41" width="9.140625" style="233" customWidth="1"/>
    <col min="42" max="42" width="11.28515625" style="233" bestFit="1" customWidth="1"/>
    <col min="43" max="16384" width="9.140625" style="233"/>
  </cols>
  <sheetData>
    <row r="1" spans="1:43" ht="9.75" customHeight="1" x14ac:dyDescent="0.25">
      <c r="U1" s="1"/>
    </row>
    <row r="2" spans="1:43" ht="16.5" customHeight="1" x14ac:dyDescent="0.25">
      <c r="A2" s="467" t="s">
        <v>256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43" ht="13.5" customHeight="1" x14ac:dyDescent="0.2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Z3" s="233"/>
      <c r="AA3" s="233"/>
      <c r="AB3" s="233"/>
      <c r="AC3" s="233"/>
      <c r="AD3" s="233"/>
      <c r="AE3" s="233"/>
      <c r="AF3" s="233"/>
    </row>
    <row r="4" spans="1:43" ht="13.5" customHeight="1" x14ac:dyDescent="0.25">
      <c r="N4" s="233"/>
    </row>
    <row r="5" spans="1:43" ht="13.5" customHeight="1" x14ac:dyDescent="0.25">
      <c r="N5" s="233"/>
      <c r="S5" s="469"/>
      <c r="T5" s="469"/>
      <c r="Z5" s="470" t="s">
        <v>2</v>
      </c>
      <c r="AA5" s="470" t="s">
        <v>3</v>
      </c>
      <c r="AB5" s="470" t="s">
        <v>4</v>
      </c>
      <c r="AC5" s="232"/>
      <c r="AD5" s="470" t="s">
        <v>2</v>
      </c>
      <c r="AE5" s="470" t="s">
        <v>3</v>
      </c>
      <c r="AF5" s="470" t="s">
        <v>4</v>
      </c>
      <c r="AG5" s="232"/>
      <c r="AH5" s="232"/>
      <c r="AI5" s="232"/>
    </row>
    <row r="6" spans="1:43" ht="13.5" customHeight="1" thickBot="1" x14ac:dyDescent="0.3">
      <c r="N6" s="233"/>
      <c r="Z6" s="471"/>
      <c r="AA6" s="471"/>
      <c r="AB6" s="471"/>
      <c r="AD6" s="471"/>
      <c r="AE6" s="471"/>
      <c r="AF6" s="471"/>
      <c r="AG6" s="232"/>
      <c r="AH6" s="232"/>
      <c r="AI6" s="232"/>
    </row>
    <row r="7" spans="1:43" s="232" customFormat="1" ht="41.25" customHeight="1" thickBot="1" x14ac:dyDescent="0.3">
      <c r="A7" s="472" t="s">
        <v>5</v>
      </c>
      <c r="B7" s="472" t="s">
        <v>6</v>
      </c>
      <c r="C7" s="472" t="s">
        <v>7</v>
      </c>
      <c r="D7" s="472" t="s">
        <v>8</v>
      </c>
      <c r="E7" s="472" t="s">
        <v>9</v>
      </c>
      <c r="F7" s="474" t="s">
        <v>10</v>
      </c>
      <c r="G7" s="474" t="s">
        <v>11</v>
      </c>
      <c r="H7" s="474" t="s">
        <v>12</v>
      </c>
      <c r="I7" s="476" t="s">
        <v>13</v>
      </c>
      <c r="J7" s="476" t="s">
        <v>14</v>
      </c>
      <c r="K7" s="476" t="s">
        <v>15</v>
      </c>
      <c r="L7" s="472" t="s">
        <v>16</v>
      </c>
      <c r="M7" s="472" t="s">
        <v>17</v>
      </c>
      <c r="N7" s="472" t="s">
        <v>10</v>
      </c>
      <c r="O7" s="472" t="s">
        <v>18</v>
      </c>
      <c r="P7" s="472" t="s">
        <v>19</v>
      </c>
      <c r="Q7" s="490" t="s">
        <v>20</v>
      </c>
      <c r="R7" s="492"/>
      <c r="S7" s="493" t="s">
        <v>21</v>
      </c>
      <c r="T7" s="494"/>
      <c r="U7" s="490" t="s">
        <v>22</v>
      </c>
      <c r="V7" s="491"/>
      <c r="W7" s="472" t="s">
        <v>23</v>
      </c>
      <c r="Z7" s="470" t="s">
        <v>2</v>
      </c>
      <c r="AA7" s="470" t="s">
        <v>3</v>
      </c>
      <c r="AB7" s="470" t="s">
        <v>4</v>
      </c>
      <c r="AC7" s="3"/>
      <c r="AD7" s="470" t="s">
        <v>2</v>
      </c>
      <c r="AE7" s="470" t="s">
        <v>3</v>
      </c>
      <c r="AF7" s="470" t="s">
        <v>4</v>
      </c>
      <c r="AG7" s="233"/>
      <c r="AH7" s="233"/>
      <c r="AI7" s="233"/>
    </row>
    <row r="8" spans="1:43" s="232" customFormat="1" ht="94.5" customHeight="1" thickBot="1" x14ac:dyDescent="0.3">
      <c r="A8" s="473"/>
      <c r="B8" s="473"/>
      <c r="C8" s="473"/>
      <c r="D8" s="473"/>
      <c r="E8" s="473"/>
      <c r="F8" s="475"/>
      <c r="G8" s="475"/>
      <c r="H8" s="475"/>
      <c r="I8" s="477"/>
      <c r="J8" s="477"/>
      <c r="K8" s="477"/>
      <c r="L8" s="473"/>
      <c r="M8" s="473"/>
      <c r="N8" s="473"/>
      <c r="O8" s="473"/>
      <c r="P8" s="473"/>
      <c r="Q8" s="41" t="s">
        <v>24</v>
      </c>
      <c r="R8" s="41" t="s">
        <v>25</v>
      </c>
      <c r="S8" s="41" t="s">
        <v>24</v>
      </c>
      <c r="T8" s="41" t="s">
        <v>25</v>
      </c>
      <c r="U8" s="41" t="s">
        <v>24</v>
      </c>
      <c r="V8" s="41" t="s">
        <v>25</v>
      </c>
      <c r="W8" s="473"/>
      <c r="Z8" s="471"/>
      <c r="AA8" s="471"/>
      <c r="AB8" s="471"/>
      <c r="AC8" s="2"/>
      <c r="AD8" s="471"/>
      <c r="AE8" s="471"/>
      <c r="AF8" s="471"/>
      <c r="AG8" s="233"/>
      <c r="AH8" s="233"/>
      <c r="AI8" s="233"/>
    </row>
    <row r="9" spans="1:43" s="6" customFormat="1" ht="15" x14ac:dyDescent="0.25">
      <c r="A9" s="4">
        <v>1</v>
      </c>
      <c r="B9" s="42" t="s">
        <v>26</v>
      </c>
      <c r="C9" s="43" t="s">
        <v>27</v>
      </c>
      <c r="D9" s="4" t="s">
        <v>28</v>
      </c>
      <c r="E9" s="44" t="s">
        <v>231</v>
      </c>
      <c r="F9" s="45"/>
      <c r="G9" s="46"/>
      <c r="H9" s="34">
        <v>1</v>
      </c>
      <c r="I9" s="47" t="s">
        <v>30</v>
      </c>
      <c r="J9" s="47" t="s">
        <v>31</v>
      </c>
      <c r="K9" s="5">
        <v>3</v>
      </c>
      <c r="L9" s="48">
        <v>17697</v>
      </c>
      <c r="M9" s="48">
        <v>1</v>
      </c>
      <c r="N9" s="48"/>
      <c r="O9" s="4">
        <v>4.9400000000000004</v>
      </c>
      <c r="P9" s="48">
        <f>O9*L9</f>
        <v>87423.180000000008</v>
      </c>
      <c r="Q9" s="49">
        <f>IF(G9&gt;0,25%,0)</f>
        <v>0</v>
      </c>
      <c r="R9" s="50">
        <f t="shared" ref="R9:R11" si="0">ROUND((P9+T9)*Q9,2)</f>
        <v>0</v>
      </c>
      <c r="S9" s="51">
        <f t="shared" ref="S9:S11" si="1">IF(H9&gt;0,10%,0)</f>
        <v>0.1</v>
      </c>
      <c r="T9" s="50">
        <f>P9*10%</f>
        <v>8742.3180000000011</v>
      </c>
      <c r="U9" s="52">
        <v>0.3</v>
      </c>
      <c r="V9" s="53">
        <f t="shared" ref="V9" si="2">L9*U9*M9</f>
        <v>5309.0999999999995</v>
      </c>
      <c r="W9" s="53">
        <f>P9+T9+V9</f>
        <v>101474.59800000001</v>
      </c>
      <c r="X9" s="222"/>
      <c r="Z9" s="7"/>
      <c r="AA9" s="8"/>
      <c r="AB9" s="8"/>
      <c r="AC9" s="9"/>
      <c r="AD9" s="7" t="str">
        <f>B7:B9</f>
        <v>Юсупова А.Е.</v>
      </c>
      <c r="AE9" s="8">
        <f>M9</f>
        <v>1</v>
      </c>
      <c r="AF9" s="8">
        <f>W9</f>
        <v>101474.59800000001</v>
      </c>
      <c r="AP9" s="10"/>
      <c r="AQ9" s="11">
        <f>P9+T9+R9+V9</f>
        <v>101474.59800000001</v>
      </c>
    </row>
    <row r="10" spans="1:43" s="6" customFormat="1" ht="30" x14ac:dyDescent="0.25">
      <c r="A10" s="4">
        <v>2</v>
      </c>
      <c r="B10" s="42" t="str">
        <f>'[1]РАСЧЁТЫ по действующей сист16'!B12</f>
        <v>Саттарова Г.С.</v>
      </c>
      <c r="C10" s="43" t="s">
        <v>34</v>
      </c>
      <c r="D10" s="4" t="s">
        <v>35</v>
      </c>
      <c r="E10" s="224" t="s">
        <v>244</v>
      </c>
      <c r="F10" s="4"/>
      <c r="G10" s="4"/>
      <c r="H10" s="4">
        <v>1</v>
      </c>
      <c r="I10" s="4"/>
      <c r="J10" s="4" t="s">
        <v>37</v>
      </c>
      <c r="K10" s="5">
        <v>3</v>
      </c>
      <c r="L10" s="48">
        <v>17697</v>
      </c>
      <c r="M10" s="48">
        <v>1</v>
      </c>
      <c r="N10" s="48"/>
      <c r="O10" s="225">
        <v>2.4</v>
      </c>
      <c r="P10" s="48">
        <f>L10*O10</f>
        <v>42472.799999999996</v>
      </c>
      <c r="Q10" s="49">
        <f t="shared" ref="Q10:Q36" si="3">IF(G10&gt;0,25%,0)</f>
        <v>0</v>
      </c>
      <c r="R10" s="50">
        <f t="shared" si="0"/>
        <v>0</v>
      </c>
      <c r="S10" s="51">
        <f t="shared" si="1"/>
        <v>0.1</v>
      </c>
      <c r="T10" s="50">
        <f t="shared" ref="T10:T53" si="4">P10*10%</f>
        <v>4247.28</v>
      </c>
      <c r="U10" s="55"/>
      <c r="V10" s="53"/>
      <c r="W10" s="53">
        <f t="shared" ref="W10:W52" si="5">P10+T10+V10</f>
        <v>46720.079999999994</v>
      </c>
      <c r="X10" s="222"/>
      <c r="Z10" s="7" t="str">
        <f>B10</f>
        <v>Саттарова Г.С.</v>
      </c>
      <c r="AA10" s="8">
        <f>M10</f>
        <v>1</v>
      </c>
      <c r="AB10" s="8">
        <f>W10</f>
        <v>46720.079999999994</v>
      </c>
      <c r="AC10" s="9"/>
      <c r="AD10" s="7"/>
      <c r="AE10" s="8"/>
      <c r="AF10" s="8"/>
    </row>
    <row r="11" spans="1:43" s="6" customFormat="1" ht="15" customHeight="1" thickBot="1" x14ac:dyDescent="0.3">
      <c r="A11" s="4">
        <v>3</v>
      </c>
      <c r="B11" s="42" t="s">
        <v>259</v>
      </c>
      <c r="C11" s="58" t="s">
        <v>40</v>
      </c>
      <c r="D11" s="59" t="s">
        <v>28</v>
      </c>
      <c r="E11" s="59">
        <v>4.08</v>
      </c>
      <c r="F11" s="59"/>
      <c r="G11" s="59"/>
      <c r="H11" s="59">
        <v>1</v>
      </c>
      <c r="I11" s="32"/>
      <c r="J11" s="32" t="s">
        <v>37</v>
      </c>
      <c r="K11" s="33">
        <v>2</v>
      </c>
      <c r="L11" s="60">
        <v>17697</v>
      </c>
      <c r="M11" s="60">
        <v>0.5</v>
      </c>
      <c r="N11" s="48"/>
      <c r="O11" s="223">
        <v>3.29</v>
      </c>
      <c r="P11" s="60">
        <v>29111.56</v>
      </c>
      <c r="Q11" s="49">
        <f t="shared" si="3"/>
        <v>0</v>
      </c>
      <c r="R11" s="50">
        <f t="shared" si="0"/>
        <v>0</v>
      </c>
      <c r="S11" s="51">
        <f t="shared" si="1"/>
        <v>0.1</v>
      </c>
      <c r="T11" s="50">
        <f t="shared" si="4"/>
        <v>2911.1560000000004</v>
      </c>
      <c r="U11" s="61"/>
      <c r="V11" s="62"/>
      <c r="W11" s="53">
        <f t="shared" si="5"/>
        <v>32022.716</v>
      </c>
      <c r="X11" s="222"/>
      <c r="Z11" s="7" t="str">
        <f>B11</f>
        <v>Смагулова М.А</v>
      </c>
      <c r="AA11" s="8">
        <f>M11</f>
        <v>0.5</v>
      </c>
      <c r="AB11" s="8">
        <f>W11</f>
        <v>32022.716</v>
      </c>
      <c r="AC11" s="9"/>
      <c r="AD11" s="7"/>
      <c r="AE11" s="8"/>
      <c r="AF11" s="8"/>
    </row>
    <row r="12" spans="1:43" s="6" customFormat="1" ht="30" customHeight="1" thickBot="1" x14ac:dyDescent="0.3">
      <c r="A12" s="528" t="s">
        <v>42</v>
      </c>
      <c r="B12" s="529"/>
      <c r="C12" s="529"/>
      <c r="D12" s="529"/>
      <c r="E12" s="276"/>
      <c r="F12" s="276"/>
      <c r="G12" s="276"/>
      <c r="H12" s="276"/>
      <c r="I12" s="276"/>
      <c r="J12" s="276"/>
      <c r="K12" s="257"/>
      <c r="L12" s="276"/>
      <c r="M12" s="274">
        <f>SUM(M9:M11)</f>
        <v>2.5</v>
      </c>
      <c r="N12" s="274"/>
      <c r="O12" s="274"/>
      <c r="P12" s="274">
        <f>SUM(P9:P11)</f>
        <v>159007.54</v>
      </c>
      <c r="Q12" s="274">
        <f t="shared" ref="Q12:W12" si="6">SUM(Q9:Q11)</f>
        <v>0</v>
      </c>
      <c r="R12" s="274">
        <f t="shared" si="6"/>
        <v>0</v>
      </c>
      <c r="S12" s="274"/>
      <c r="T12" s="274">
        <f t="shared" si="6"/>
        <v>15900.754000000003</v>
      </c>
      <c r="U12" s="274"/>
      <c r="V12" s="274">
        <f t="shared" si="6"/>
        <v>5309.0999999999995</v>
      </c>
      <c r="W12" s="274">
        <f t="shared" si="6"/>
        <v>180217.39400000003</v>
      </c>
      <c r="Z12" s="7" t="s">
        <v>43</v>
      </c>
      <c r="AA12" s="8">
        <f>SUM(AA9:AA11)</f>
        <v>1.5</v>
      </c>
      <c r="AB12" s="8">
        <f>SUM(AB9:AB11)</f>
        <v>78742.796000000002</v>
      </c>
      <c r="AC12" s="13"/>
      <c r="AD12" s="7" t="s">
        <v>44</v>
      </c>
      <c r="AE12" s="8">
        <f>SUM(AE9:AE11)</f>
        <v>1</v>
      </c>
      <c r="AF12" s="8">
        <f>SUM(AF9:AF11)</f>
        <v>101474.59800000001</v>
      </c>
      <c r="AH12" s="11"/>
    </row>
    <row r="13" spans="1:43" s="6" customFormat="1" ht="15" x14ac:dyDescent="0.25">
      <c r="A13" s="34">
        <v>4</v>
      </c>
      <c r="B13" s="42" t="s">
        <v>260</v>
      </c>
      <c r="C13" s="56" t="s">
        <v>63</v>
      </c>
      <c r="D13" s="4" t="s">
        <v>28</v>
      </c>
      <c r="E13" s="34" t="s">
        <v>41</v>
      </c>
      <c r="F13" s="71"/>
      <c r="G13" s="71"/>
      <c r="H13" s="71" t="s">
        <v>65</v>
      </c>
      <c r="I13" s="12" t="s">
        <v>48</v>
      </c>
      <c r="J13" s="12" t="s">
        <v>53</v>
      </c>
      <c r="K13" s="5">
        <v>4</v>
      </c>
      <c r="L13" s="48">
        <v>17697</v>
      </c>
      <c r="M13" s="70">
        <v>0.5</v>
      </c>
      <c r="N13" s="48"/>
      <c r="O13" s="48">
        <v>3.08</v>
      </c>
      <c r="P13" s="48">
        <v>27253.38</v>
      </c>
      <c r="Q13" s="49">
        <f t="shared" si="3"/>
        <v>0</v>
      </c>
      <c r="R13" s="50">
        <f t="shared" ref="R13:R36" si="7">ROUND((P13+T13)*Q13,2)</f>
        <v>0</v>
      </c>
      <c r="S13" s="51">
        <f t="shared" ref="S13:S36" si="8">IF(H13&gt;0,10%,0)</f>
        <v>0.1</v>
      </c>
      <c r="T13" s="50">
        <f t="shared" si="4"/>
        <v>2725.3380000000002</v>
      </c>
      <c r="U13" s="52"/>
      <c r="V13" s="53">
        <f t="shared" ref="V13:V36" si="9">L13*U13*M13</f>
        <v>0</v>
      </c>
      <c r="W13" s="53">
        <f t="shared" si="5"/>
        <v>29978.718000000001</v>
      </c>
      <c r="X13" s="222"/>
      <c r="Z13" s="7"/>
      <c r="AA13" s="8"/>
      <c r="AB13" s="8"/>
      <c r="AC13" s="9"/>
      <c r="AD13" s="7" t="str">
        <f t="shared" ref="AD13" si="10">B13</f>
        <v xml:space="preserve">Байжуманова А.С </v>
      </c>
      <c r="AE13" s="16">
        <f t="shared" ref="AE13" si="11">M13</f>
        <v>0.5</v>
      </c>
      <c r="AF13" s="8">
        <f t="shared" ref="AF13" si="12">W13</f>
        <v>29978.718000000001</v>
      </c>
    </row>
    <row r="14" spans="1:43" s="6" customFormat="1" ht="15" x14ac:dyDescent="0.25">
      <c r="A14" s="34">
        <v>5</v>
      </c>
      <c r="B14" s="46" t="str">
        <f>'[1]РАСЧЁТЫ по действующей сист16'!B31</f>
        <v>Жанарбаева А.Е.</v>
      </c>
      <c r="C14" s="56" t="s">
        <v>66</v>
      </c>
      <c r="D14" s="4" t="s">
        <v>28</v>
      </c>
      <c r="E14" s="34" t="s">
        <v>235</v>
      </c>
      <c r="F14" s="71"/>
      <c r="G14" s="71"/>
      <c r="H14" s="71" t="s">
        <v>65</v>
      </c>
      <c r="I14" s="12" t="s">
        <v>48</v>
      </c>
      <c r="J14" s="12" t="s">
        <v>53</v>
      </c>
      <c r="K14" s="5">
        <v>4</v>
      </c>
      <c r="L14" s="48">
        <v>17697</v>
      </c>
      <c r="M14" s="70">
        <v>0.25</v>
      </c>
      <c r="N14" s="48"/>
      <c r="O14" s="48">
        <v>3.65</v>
      </c>
      <c r="P14" s="48">
        <v>16148.51</v>
      </c>
      <c r="Q14" s="49">
        <f t="shared" si="3"/>
        <v>0</v>
      </c>
      <c r="R14" s="50">
        <f t="shared" si="7"/>
        <v>0</v>
      </c>
      <c r="S14" s="51">
        <f t="shared" si="8"/>
        <v>0.1</v>
      </c>
      <c r="T14" s="50">
        <f t="shared" si="4"/>
        <v>1614.8510000000001</v>
      </c>
      <c r="U14" s="52">
        <v>0.4</v>
      </c>
      <c r="V14" s="53">
        <f t="shared" si="9"/>
        <v>1769.7</v>
      </c>
      <c r="W14" s="53">
        <f t="shared" si="5"/>
        <v>19533.061000000002</v>
      </c>
      <c r="X14" s="222"/>
      <c r="Z14" s="7" t="str">
        <f t="shared" ref="Z14:Z17" si="13">B14</f>
        <v>Жанарбаева А.Е.</v>
      </c>
      <c r="AA14" s="8">
        <f t="shared" ref="AA14:AA20" si="14">M14</f>
        <v>0.25</v>
      </c>
      <c r="AB14" s="8">
        <f>W14</f>
        <v>19533.061000000002</v>
      </c>
      <c r="AC14" s="9"/>
      <c r="AD14" s="7"/>
      <c r="AE14" s="16"/>
      <c r="AF14" s="8"/>
    </row>
    <row r="15" spans="1:43" s="6" customFormat="1" ht="15" x14ac:dyDescent="0.25">
      <c r="A15" s="34">
        <v>6</v>
      </c>
      <c r="B15" s="46" t="str">
        <f>'[1]РАСЧЁТЫ по действующей сист16'!B32</f>
        <v>Арынова  П.Т.</v>
      </c>
      <c r="C15" s="56" t="s">
        <v>68</v>
      </c>
      <c r="D15" s="4" t="s">
        <v>28</v>
      </c>
      <c r="E15" s="4" t="s">
        <v>234</v>
      </c>
      <c r="F15" s="71"/>
      <c r="G15" s="71"/>
      <c r="H15" s="71" t="s">
        <v>65</v>
      </c>
      <c r="I15" s="12" t="s">
        <v>48</v>
      </c>
      <c r="J15" s="12" t="s">
        <v>53</v>
      </c>
      <c r="K15" s="5">
        <v>4</v>
      </c>
      <c r="L15" s="48">
        <v>17697</v>
      </c>
      <c r="M15" s="70">
        <v>0.25</v>
      </c>
      <c r="N15" s="48"/>
      <c r="O15" s="48">
        <v>3.65</v>
      </c>
      <c r="P15" s="48">
        <v>16148.51</v>
      </c>
      <c r="Q15" s="49">
        <f t="shared" si="3"/>
        <v>0</v>
      </c>
      <c r="R15" s="50">
        <f t="shared" si="7"/>
        <v>0</v>
      </c>
      <c r="S15" s="51">
        <f t="shared" si="8"/>
        <v>0.1</v>
      </c>
      <c r="T15" s="50">
        <f t="shared" si="4"/>
        <v>1614.8510000000001</v>
      </c>
      <c r="U15" s="52">
        <v>0.4</v>
      </c>
      <c r="V15" s="53">
        <f t="shared" si="9"/>
        <v>1769.7</v>
      </c>
      <c r="W15" s="53">
        <f t="shared" si="5"/>
        <v>19533.061000000002</v>
      </c>
      <c r="X15" s="222"/>
      <c r="Z15" s="7" t="str">
        <f t="shared" si="13"/>
        <v>Арынова  П.Т.</v>
      </c>
      <c r="AA15" s="8">
        <f t="shared" si="14"/>
        <v>0.25</v>
      </c>
      <c r="AB15" s="8">
        <f>W15</f>
        <v>19533.061000000002</v>
      </c>
      <c r="AC15" s="9"/>
      <c r="AD15" s="7"/>
      <c r="AE15" s="16"/>
      <c r="AF15" s="8"/>
    </row>
    <row r="16" spans="1:43" s="6" customFormat="1" ht="15" x14ac:dyDescent="0.25">
      <c r="A16" s="34">
        <v>7</v>
      </c>
      <c r="B16" s="72" t="s">
        <v>70</v>
      </c>
      <c r="C16" s="56" t="s">
        <v>71</v>
      </c>
      <c r="D16" s="4" t="s">
        <v>35</v>
      </c>
      <c r="E16" s="4" t="s">
        <v>188</v>
      </c>
      <c r="F16" s="71"/>
      <c r="G16" s="71"/>
      <c r="H16" s="71" t="s">
        <v>65</v>
      </c>
      <c r="I16" s="12" t="s">
        <v>48</v>
      </c>
      <c r="J16" s="12" t="s">
        <v>49</v>
      </c>
      <c r="K16" s="5">
        <v>4</v>
      </c>
      <c r="L16" s="48">
        <v>17697</v>
      </c>
      <c r="M16" s="70">
        <v>1</v>
      </c>
      <c r="N16" s="227"/>
      <c r="O16" s="48">
        <v>2.68</v>
      </c>
      <c r="P16" s="48">
        <f t="shared" ref="P16:P18" si="15">L16*O16</f>
        <v>47427.960000000006</v>
      </c>
      <c r="Q16" s="49">
        <f t="shared" si="3"/>
        <v>0</v>
      </c>
      <c r="R16" s="50">
        <f t="shared" si="7"/>
        <v>0</v>
      </c>
      <c r="S16" s="51">
        <f t="shared" si="8"/>
        <v>0.1</v>
      </c>
      <c r="T16" s="50">
        <f t="shared" si="4"/>
        <v>4742.7960000000012</v>
      </c>
      <c r="U16" s="52">
        <v>0.4</v>
      </c>
      <c r="V16" s="53">
        <f t="shared" si="9"/>
        <v>7078.8</v>
      </c>
      <c r="W16" s="53">
        <f t="shared" si="5"/>
        <v>59249.556000000011</v>
      </c>
      <c r="X16" s="222"/>
      <c r="Z16" s="7" t="str">
        <f t="shared" si="13"/>
        <v>Тезекбаева Р.Т.</v>
      </c>
      <c r="AA16" s="8">
        <f t="shared" si="14"/>
        <v>1</v>
      </c>
      <c r="AB16" s="8">
        <f>W16</f>
        <v>59249.556000000011</v>
      </c>
      <c r="AC16" s="9"/>
      <c r="AD16" s="7"/>
      <c r="AE16" s="16"/>
      <c r="AF16" s="8"/>
    </row>
    <row r="17" spans="1:32" s="6" customFormat="1" ht="14.25" customHeight="1" x14ac:dyDescent="0.25">
      <c r="A17" s="34">
        <v>8</v>
      </c>
      <c r="B17" s="46" t="s">
        <v>242</v>
      </c>
      <c r="C17" s="56" t="s">
        <v>72</v>
      </c>
      <c r="D17" s="4" t="s">
        <v>35</v>
      </c>
      <c r="E17" s="4" t="s">
        <v>243</v>
      </c>
      <c r="F17" s="71"/>
      <c r="G17" s="71"/>
      <c r="H17" s="71" t="s">
        <v>65</v>
      </c>
      <c r="I17" s="12" t="s">
        <v>48</v>
      </c>
      <c r="J17" s="12" t="s">
        <v>49</v>
      </c>
      <c r="K17" s="5">
        <v>4</v>
      </c>
      <c r="L17" s="48">
        <v>17697</v>
      </c>
      <c r="M17" s="70">
        <v>0.5</v>
      </c>
      <c r="N17" s="48"/>
      <c r="O17" s="48">
        <v>2.68</v>
      </c>
      <c r="P17" s="48">
        <v>23713.98</v>
      </c>
      <c r="Q17" s="49">
        <f t="shared" si="3"/>
        <v>0</v>
      </c>
      <c r="R17" s="50">
        <f t="shared" si="7"/>
        <v>0</v>
      </c>
      <c r="S17" s="51">
        <f t="shared" si="8"/>
        <v>0.1</v>
      </c>
      <c r="T17" s="50">
        <f t="shared" si="4"/>
        <v>2371.3980000000001</v>
      </c>
      <c r="U17" s="52">
        <v>0.4</v>
      </c>
      <c r="V17" s="53">
        <f t="shared" si="9"/>
        <v>3539.4</v>
      </c>
      <c r="W17" s="53">
        <f t="shared" si="5"/>
        <v>29624.778000000002</v>
      </c>
      <c r="X17" s="222"/>
      <c r="Z17" s="7" t="str">
        <f t="shared" si="13"/>
        <v>Мруалиева Т.</v>
      </c>
      <c r="AA17" s="8">
        <f t="shared" si="14"/>
        <v>0.5</v>
      </c>
      <c r="AB17" s="8">
        <f>W17</f>
        <v>29624.778000000002</v>
      </c>
      <c r="AC17" s="9"/>
      <c r="AD17" s="7"/>
      <c r="AE17" s="16"/>
      <c r="AF17" s="8"/>
    </row>
    <row r="18" spans="1:32" s="6" customFormat="1" ht="15" x14ac:dyDescent="0.25">
      <c r="A18" s="34">
        <v>9</v>
      </c>
      <c r="B18" s="46" t="str">
        <f>'[1]РАСЧЁТЫ по действующей сист16'!B38</f>
        <v>Жуманова М.С.</v>
      </c>
      <c r="C18" s="56" t="s">
        <v>73</v>
      </c>
      <c r="D18" s="4" t="s">
        <v>28</v>
      </c>
      <c r="E18" s="4" t="s">
        <v>239</v>
      </c>
      <c r="F18" s="4"/>
      <c r="G18" s="4"/>
      <c r="H18" s="4">
        <v>1</v>
      </c>
      <c r="I18" s="12"/>
      <c r="J18" s="12" t="s">
        <v>37</v>
      </c>
      <c r="K18" s="5">
        <v>2</v>
      </c>
      <c r="L18" s="48">
        <v>17697</v>
      </c>
      <c r="M18" s="70">
        <v>1</v>
      </c>
      <c r="N18" s="71"/>
      <c r="O18" s="48">
        <v>3.15</v>
      </c>
      <c r="P18" s="48">
        <f t="shared" si="15"/>
        <v>55745.549999999996</v>
      </c>
      <c r="Q18" s="49">
        <f t="shared" si="3"/>
        <v>0</v>
      </c>
      <c r="R18" s="50">
        <f t="shared" si="7"/>
        <v>0</v>
      </c>
      <c r="S18" s="51">
        <f t="shared" si="8"/>
        <v>0.1</v>
      </c>
      <c r="T18" s="50">
        <f t="shared" si="4"/>
        <v>5574.5550000000003</v>
      </c>
      <c r="U18" s="52">
        <v>0</v>
      </c>
      <c r="V18" s="53">
        <f t="shared" si="9"/>
        <v>0</v>
      </c>
      <c r="W18" s="53">
        <f t="shared" si="5"/>
        <v>61320.104999999996</v>
      </c>
      <c r="X18" s="222"/>
      <c r="Z18" s="7" t="str">
        <f>B18</f>
        <v>Жуманова М.С.</v>
      </c>
      <c r="AA18" s="8">
        <f t="shared" si="14"/>
        <v>1</v>
      </c>
      <c r="AB18" s="8">
        <f>W18</f>
        <v>61320.104999999996</v>
      </c>
      <c r="AC18" s="9"/>
      <c r="AD18" s="7"/>
      <c r="AE18" s="16"/>
      <c r="AF18" s="8"/>
    </row>
    <row r="19" spans="1:32" s="6" customFormat="1" ht="15" x14ac:dyDescent="0.25">
      <c r="A19" s="34">
        <v>10</v>
      </c>
      <c r="B19" s="46" t="s">
        <v>257</v>
      </c>
      <c r="C19" s="56" t="s">
        <v>78</v>
      </c>
      <c r="D19" s="34" t="s">
        <v>35</v>
      </c>
      <c r="E19" s="34" t="s">
        <v>239</v>
      </c>
      <c r="F19" s="34"/>
      <c r="G19" s="34"/>
      <c r="H19" s="34">
        <v>1</v>
      </c>
      <c r="I19" s="34" t="s">
        <v>48</v>
      </c>
      <c r="J19" s="34" t="s">
        <v>49</v>
      </c>
      <c r="K19" s="35">
        <v>4</v>
      </c>
      <c r="L19" s="68">
        <v>17697</v>
      </c>
      <c r="M19" s="69">
        <v>1.25</v>
      </c>
      <c r="N19" s="68"/>
      <c r="O19" s="68">
        <v>2.2599999999999998</v>
      </c>
      <c r="P19" s="68">
        <v>49994.03</v>
      </c>
      <c r="Q19" s="49">
        <f>IF(G19&gt;0,25%,0)</f>
        <v>0</v>
      </c>
      <c r="R19" s="50">
        <f>ROUND((P19+T19)*Q19,2)</f>
        <v>0</v>
      </c>
      <c r="S19" s="51">
        <f>IF(H19&gt;0,10%,0)</f>
        <v>0.1</v>
      </c>
      <c r="T19" s="50">
        <f>P19*10%</f>
        <v>4999.4030000000002</v>
      </c>
      <c r="U19" s="52">
        <v>0.4</v>
      </c>
      <c r="V19" s="53">
        <v>8848.5</v>
      </c>
      <c r="W19" s="53">
        <f>P19+T19+V19</f>
        <v>63841.932999999997</v>
      </c>
      <c r="X19" s="222"/>
      <c r="Z19" s="7"/>
      <c r="AA19" s="8"/>
      <c r="AB19" s="8"/>
      <c r="AC19" s="9"/>
      <c r="AD19" s="7"/>
      <c r="AE19" s="16"/>
      <c r="AF19" s="8"/>
    </row>
    <row r="20" spans="1:32" s="6" customFormat="1" ht="15" x14ac:dyDescent="0.25">
      <c r="A20" s="34">
        <v>11</v>
      </c>
      <c r="B20" s="46" t="s">
        <v>77</v>
      </c>
      <c r="C20" s="56" t="s">
        <v>78</v>
      </c>
      <c r="D20" s="4" t="s">
        <v>28</v>
      </c>
      <c r="E20" s="34" t="s">
        <v>230</v>
      </c>
      <c r="F20" s="4"/>
      <c r="G20" s="4"/>
      <c r="H20" s="4">
        <v>1</v>
      </c>
      <c r="I20" s="12" t="s">
        <v>48</v>
      </c>
      <c r="J20" s="12" t="s">
        <v>56</v>
      </c>
      <c r="K20" s="5">
        <v>4</v>
      </c>
      <c r="L20" s="48">
        <v>17697</v>
      </c>
      <c r="M20" s="70">
        <v>1.25</v>
      </c>
      <c r="N20" s="71"/>
      <c r="O20" s="48">
        <v>3.04</v>
      </c>
      <c r="P20" s="48">
        <v>68575.88</v>
      </c>
      <c r="Q20" s="49">
        <f t="shared" si="3"/>
        <v>0</v>
      </c>
      <c r="R20" s="50">
        <f t="shared" si="7"/>
        <v>0</v>
      </c>
      <c r="S20" s="51">
        <f t="shared" si="8"/>
        <v>0.1</v>
      </c>
      <c r="T20" s="50">
        <f t="shared" si="4"/>
        <v>6857.5880000000006</v>
      </c>
      <c r="U20" s="52">
        <v>0.4</v>
      </c>
      <c r="V20" s="53">
        <f t="shared" si="9"/>
        <v>8848.5</v>
      </c>
      <c r="W20" s="53">
        <f t="shared" si="5"/>
        <v>84281.968000000008</v>
      </c>
      <c r="X20" s="222"/>
      <c r="Z20" s="7"/>
      <c r="AA20" s="8">
        <f t="shared" si="14"/>
        <v>1.25</v>
      </c>
      <c r="AB20" s="8"/>
      <c r="AC20" s="13"/>
      <c r="AD20" s="7" t="str">
        <f t="shared" ref="AD20:AD30" si="16">B20</f>
        <v>Слуту Л.С.</v>
      </c>
      <c r="AE20" s="16">
        <f t="shared" ref="AE20:AE30" si="17">M20</f>
        <v>1.25</v>
      </c>
      <c r="AF20" s="8">
        <f t="shared" ref="AF20:AF30" si="18">W20</f>
        <v>84281.968000000008</v>
      </c>
    </row>
    <row r="21" spans="1:32" s="6" customFormat="1" ht="15" x14ac:dyDescent="0.25">
      <c r="A21" s="34">
        <v>12</v>
      </c>
      <c r="B21" s="46" t="str">
        <f>'[1]РАСЧЁТЫ по действующей сист16'!B43</f>
        <v>Жампеисова М.Б.</v>
      </c>
      <c r="C21" s="56" t="s">
        <v>78</v>
      </c>
      <c r="D21" s="4" t="s">
        <v>35</v>
      </c>
      <c r="E21" s="4" t="s">
        <v>226</v>
      </c>
      <c r="F21" s="71"/>
      <c r="G21" s="71"/>
      <c r="H21" s="71" t="s">
        <v>65</v>
      </c>
      <c r="I21" s="12" t="s">
        <v>48</v>
      </c>
      <c r="J21" s="12" t="s">
        <v>49</v>
      </c>
      <c r="K21" s="5">
        <v>4</v>
      </c>
      <c r="L21" s="48">
        <v>17697</v>
      </c>
      <c r="M21" s="70">
        <v>1.25</v>
      </c>
      <c r="N21" s="5"/>
      <c r="O21" s="48">
        <v>2.48</v>
      </c>
      <c r="P21" s="48">
        <v>54860.7</v>
      </c>
      <c r="Q21" s="49">
        <f t="shared" si="3"/>
        <v>0</v>
      </c>
      <c r="R21" s="50">
        <f t="shared" si="7"/>
        <v>0</v>
      </c>
      <c r="S21" s="51">
        <f t="shared" si="8"/>
        <v>0.1</v>
      </c>
      <c r="T21" s="50">
        <f t="shared" si="4"/>
        <v>5486.07</v>
      </c>
      <c r="U21" s="52">
        <v>0.4</v>
      </c>
      <c r="V21" s="53">
        <f t="shared" si="9"/>
        <v>8848.5</v>
      </c>
      <c r="W21" s="53">
        <f t="shared" si="5"/>
        <v>69195.26999999999</v>
      </c>
      <c r="X21" s="222"/>
      <c r="Z21" s="7"/>
      <c r="AA21" s="8"/>
      <c r="AB21" s="8"/>
      <c r="AC21" s="13"/>
      <c r="AD21" s="7" t="str">
        <f t="shared" si="16"/>
        <v>Жампеисова М.Б.</v>
      </c>
      <c r="AE21" s="16">
        <f t="shared" si="17"/>
        <v>1.25</v>
      </c>
      <c r="AF21" s="8">
        <f t="shared" si="18"/>
        <v>69195.26999999999</v>
      </c>
    </row>
    <row r="22" spans="1:32" s="6" customFormat="1" ht="15" x14ac:dyDescent="0.25">
      <c r="A22" s="34">
        <v>13</v>
      </c>
      <c r="B22" s="46" t="s">
        <v>81</v>
      </c>
      <c r="C22" s="56" t="s">
        <v>78</v>
      </c>
      <c r="D22" s="4" t="s">
        <v>35</v>
      </c>
      <c r="E22" s="4" t="s">
        <v>223</v>
      </c>
      <c r="F22" s="71"/>
      <c r="G22" s="71"/>
      <c r="H22" s="71" t="s">
        <v>65</v>
      </c>
      <c r="I22" s="12" t="s">
        <v>48</v>
      </c>
      <c r="J22" s="12" t="s">
        <v>49</v>
      </c>
      <c r="K22" s="5">
        <v>2</v>
      </c>
      <c r="L22" s="48">
        <v>17697</v>
      </c>
      <c r="M22" s="70">
        <v>1.25</v>
      </c>
      <c r="N22" s="5">
        <v>1</v>
      </c>
      <c r="O22" s="48">
        <v>3.41</v>
      </c>
      <c r="P22" s="48">
        <v>75433.460000000006</v>
      </c>
      <c r="Q22" s="49">
        <f t="shared" si="3"/>
        <v>0</v>
      </c>
      <c r="R22" s="50">
        <f t="shared" si="7"/>
        <v>0</v>
      </c>
      <c r="S22" s="51">
        <f t="shared" si="8"/>
        <v>0.1</v>
      </c>
      <c r="T22" s="50">
        <f t="shared" si="4"/>
        <v>7543.3460000000014</v>
      </c>
      <c r="U22" s="52">
        <v>0.4</v>
      </c>
      <c r="V22" s="53">
        <f t="shared" si="9"/>
        <v>8848.5</v>
      </c>
      <c r="W22" s="53">
        <f t="shared" si="5"/>
        <v>91825.306000000011</v>
      </c>
      <c r="X22" s="222"/>
      <c r="Z22" s="7"/>
      <c r="AA22" s="8"/>
      <c r="AB22" s="8"/>
      <c r="AC22" s="13"/>
      <c r="AD22" s="7" t="str">
        <f t="shared" si="16"/>
        <v>Абдулова Е.В.</v>
      </c>
      <c r="AE22" s="16">
        <f t="shared" si="17"/>
        <v>1.25</v>
      </c>
      <c r="AF22" s="8">
        <f t="shared" si="18"/>
        <v>91825.306000000011</v>
      </c>
    </row>
    <row r="23" spans="1:32" s="6" customFormat="1" ht="15" x14ac:dyDescent="0.25">
      <c r="A23" s="34">
        <v>14</v>
      </c>
      <c r="B23" s="46" t="str">
        <f>'[1]РАСЧЁТЫ по действующей сист16'!B45</f>
        <v>Болпак  У.Б.</v>
      </c>
      <c r="C23" s="56" t="s">
        <v>78</v>
      </c>
      <c r="D23" s="4" t="s">
        <v>28</v>
      </c>
      <c r="E23" s="4" t="s">
        <v>225</v>
      </c>
      <c r="F23" s="71"/>
      <c r="G23" s="71"/>
      <c r="H23" s="71" t="s">
        <v>65</v>
      </c>
      <c r="I23" s="12" t="s">
        <v>48</v>
      </c>
      <c r="J23" s="12" t="s">
        <v>56</v>
      </c>
      <c r="K23" s="5">
        <v>4</v>
      </c>
      <c r="L23" s="48">
        <v>17697</v>
      </c>
      <c r="M23" s="70">
        <v>1.25</v>
      </c>
      <c r="N23" s="5"/>
      <c r="O23" s="48">
        <v>3.1</v>
      </c>
      <c r="P23" s="48">
        <v>68575.88</v>
      </c>
      <c r="Q23" s="49">
        <f t="shared" si="3"/>
        <v>0</v>
      </c>
      <c r="R23" s="50">
        <f t="shared" si="7"/>
        <v>0</v>
      </c>
      <c r="S23" s="51">
        <f t="shared" si="8"/>
        <v>0.1</v>
      </c>
      <c r="T23" s="50">
        <f t="shared" si="4"/>
        <v>6857.5880000000006</v>
      </c>
      <c r="U23" s="52">
        <v>0.4</v>
      </c>
      <c r="V23" s="53">
        <f t="shared" si="9"/>
        <v>8848.5</v>
      </c>
      <c r="W23" s="53">
        <f t="shared" si="5"/>
        <v>84281.968000000008</v>
      </c>
      <c r="X23" s="222"/>
      <c r="Z23" s="7"/>
      <c r="AA23" s="8"/>
      <c r="AB23" s="8"/>
      <c r="AC23" s="13"/>
      <c r="AD23" s="7" t="str">
        <f t="shared" si="16"/>
        <v>Болпак  У.Б.</v>
      </c>
      <c r="AE23" s="16">
        <f t="shared" si="17"/>
        <v>1.25</v>
      </c>
      <c r="AF23" s="8">
        <f t="shared" si="18"/>
        <v>84281.968000000008</v>
      </c>
    </row>
    <row r="24" spans="1:32" s="6" customFormat="1" ht="15" x14ac:dyDescent="0.25">
      <c r="A24" s="34">
        <v>15</v>
      </c>
      <c r="B24" s="46" t="s">
        <v>84</v>
      </c>
      <c r="C24" s="56" t="s">
        <v>78</v>
      </c>
      <c r="D24" s="12" t="s">
        <v>28</v>
      </c>
      <c r="E24" s="12" t="s">
        <v>224</v>
      </c>
      <c r="F24" s="71"/>
      <c r="G24" s="71"/>
      <c r="H24" s="71" t="s">
        <v>65</v>
      </c>
      <c r="I24" s="12" t="s">
        <v>48</v>
      </c>
      <c r="J24" s="12" t="s">
        <v>56</v>
      </c>
      <c r="K24" s="5">
        <v>3</v>
      </c>
      <c r="L24" s="48">
        <v>17697</v>
      </c>
      <c r="M24" s="70">
        <v>1.25</v>
      </c>
      <c r="N24" s="260">
        <v>2</v>
      </c>
      <c r="O24" s="48">
        <v>3.51</v>
      </c>
      <c r="P24" s="48">
        <v>77645.990000000005</v>
      </c>
      <c r="Q24" s="49">
        <f t="shared" si="3"/>
        <v>0</v>
      </c>
      <c r="R24" s="50">
        <f t="shared" si="7"/>
        <v>0</v>
      </c>
      <c r="S24" s="51">
        <f t="shared" si="8"/>
        <v>0.1</v>
      </c>
      <c r="T24" s="50">
        <f t="shared" si="4"/>
        <v>7764.5990000000011</v>
      </c>
      <c r="U24" s="52">
        <v>0.4</v>
      </c>
      <c r="V24" s="53">
        <f t="shared" si="9"/>
        <v>8848.5</v>
      </c>
      <c r="W24" s="53">
        <f t="shared" si="5"/>
        <v>94259.089000000007</v>
      </c>
      <c r="X24" s="222"/>
      <c r="Z24" s="7"/>
      <c r="AA24" s="8"/>
      <c r="AB24" s="8"/>
      <c r="AC24" s="13"/>
      <c r="AD24" s="7" t="str">
        <f t="shared" si="16"/>
        <v>Абыкеева К.К</v>
      </c>
      <c r="AE24" s="16">
        <f t="shared" si="17"/>
        <v>1.25</v>
      </c>
      <c r="AF24" s="8">
        <f t="shared" si="18"/>
        <v>94259.089000000007</v>
      </c>
    </row>
    <row r="25" spans="1:32" s="6" customFormat="1" ht="15" x14ac:dyDescent="0.25">
      <c r="A25" s="34">
        <v>16</v>
      </c>
      <c r="B25" s="46" t="str">
        <f>'[1]РАСЧЁТЫ по действующей сист16'!B47</f>
        <v>Рыскалиева Г.С.</v>
      </c>
      <c r="C25" s="56" t="s">
        <v>78</v>
      </c>
      <c r="D25" s="12" t="s">
        <v>28</v>
      </c>
      <c r="E25" s="12" t="s">
        <v>229</v>
      </c>
      <c r="F25" s="71"/>
      <c r="G25" s="71"/>
      <c r="H25" s="71" t="s">
        <v>65</v>
      </c>
      <c r="I25" s="12" t="s">
        <v>48</v>
      </c>
      <c r="J25" s="12" t="s">
        <v>56</v>
      </c>
      <c r="K25" s="5">
        <v>3</v>
      </c>
      <c r="L25" s="48">
        <v>17697</v>
      </c>
      <c r="M25" s="70">
        <v>1.25</v>
      </c>
      <c r="N25" s="5">
        <v>2</v>
      </c>
      <c r="O25" s="48">
        <v>3.57</v>
      </c>
      <c r="P25" s="48">
        <v>78972.86</v>
      </c>
      <c r="Q25" s="49">
        <f t="shared" si="3"/>
        <v>0</v>
      </c>
      <c r="R25" s="50">
        <f t="shared" si="7"/>
        <v>0</v>
      </c>
      <c r="S25" s="51">
        <f t="shared" si="8"/>
        <v>0.1</v>
      </c>
      <c r="T25" s="50">
        <f t="shared" si="4"/>
        <v>7897.2860000000001</v>
      </c>
      <c r="U25" s="52">
        <v>0.4</v>
      </c>
      <c r="V25" s="53">
        <f t="shared" si="9"/>
        <v>8848.5</v>
      </c>
      <c r="W25" s="53">
        <f t="shared" si="5"/>
        <v>95718.646000000008</v>
      </c>
      <c r="X25" s="222"/>
      <c r="Z25" s="7"/>
      <c r="AA25" s="8"/>
      <c r="AB25" s="8"/>
      <c r="AC25" s="13"/>
      <c r="AD25" s="7" t="str">
        <f t="shared" si="16"/>
        <v>Рыскалиева Г.С.</v>
      </c>
      <c r="AE25" s="16">
        <f t="shared" si="17"/>
        <v>1.25</v>
      </c>
      <c r="AF25" s="8">
        <f t="shared" si="18"/>
        <v>95718.646000000008</v>
      </c>
    </row>
    <row r="26" spans="1:32" s="6" customFormat="1" ht="15" x14ac:dyDescent="0.25">
      <c r="A26" s="34">
        <v>17</v>
      </c>
      <c r="B26" s="46" t="s">
        <v>87</v>
      </c>
      <c r="C26" s="56" t="s">
        <v>78</v>
      </c>
      <c r="D26" s="12" t="s">
        <v>28</v>
      </c>
      <c r="E26" s="71" t="s">
        <v>227</v>
      </c>
      <c r="F26" s="71"/>
      <c r="G26" s="71"/>
      <c r="H26" s="71" t="s">
        <v>65</v>
      </c>
      <c r="I26" s="12" t="s">
        <v>48</v>
      </c>
      <c r="J26" s="12" t="s">
        <v>56</v>
      </c>
      <c r="K26" s="5">
        <v>2</v>
      </c>
      <c r="L26" s="48">
        <v>17697</v>
      </c>
      <c r="M26" s="70">
        <v>1.25</v>
      </c>
      <c r="N26" s="5">
        <v>1</v>
      </c>
      <c r="O26" s="48">
        <v>3.86</v>
      </c>
      <c r="P26" s="48">
        <v>85388.02</v>
      </c>
      <c r="Q26" s="49">
        <f t="shared" si="3"/>
        <v>0</v>
      </c>
      <c r="R26" s="50">
        <f t="shared" si="7"/>
        <v>0</v>
      </c>
      <c r="S26" s="51">
        <f t="shared" si="8"/>
        <v>0.1</v>
      </c>
      <c r="T26" s="50">
        <f t="shared" si="4"/>
        <v>8538.8020000000015</v>
      </c>
      <c r="U26" s="52">
        <v>0.4</v>
      </c>
      <c r="V26" s="53">
        <f t="shared" si="9"/>
        <v>8848.5</v>
      </c>
      <c r="W26" s="53">
        <f t="shared" si="5"/>
        <v>102775.322</v>
      </c>
      <c r="X26" s="222"/>
      <c r="Z26" s="7"/>
      <c r="AA26" s="8"/>
      <c r="AB26" s="8"/>
      <c r="AC26" s="13"/>
      <c r="AD26" s="7" t="str">
        <f t="shared" si="16"/>
        <v>Жанзакова З. К.</v>
      </c>
      <c r="AE26" s="16">
        <f t="shared" si="17"/>
        <v>1.25</v>
      </c>
      <c r="AF26" s="8">
        <f t="shared" si="18"/>
        <v>102775.322</v>
      </c>
    </row>
    <row r="27" spans="1:32" s="6" customFormat="1" ht="15" x14ac:dyDescent="0.25">
      <c r="A27" s="34">
        <v>18</v>
      </c>
      <c r="B27" s="46" t="s">
        <v>221</v>
      </c>
      <c r="C27" s="56" t="s">
        <v>78</v>
      </c>
      <c r="D27" s="12" t="s">
        <v>28</v>
      </c>
      <c r="E27" s="71" t="s">
        <v>250</v>
      </c>
      <c r="F27" s="71"/>
      <c r="G27" s="71"/>
      <c r="H27" s="71" t="s">
        <v>65</v>
      </c>
      <c r="I27" s="12" t="s">
        <v>48</v>
      </c>
      <c r="J27" s="12" t="s">
        <v>56</v>
      </c>
      <c r="K27" s="5">
        <v>2</v>
      </c>
      <c r="L27" s="48">
        <v>17697</v>
      </c>
      <c r="M27" s="70">
        <v>1.25</v>
      </c>
      <c r="N27" s="5">
        <v>1</v>
      </c>
      <c r="O27" s="48">
        <v>3.68</v>
      </c>
      <c r="P27" s="48">
        <v>81406.2</v>
      </c>
      <c r="Q27" s="49">
        <f t="shared" si="3"/>
        <v>0</v>
      </c>
      <c r="R27" s="50">
        <f t="shared" si="7"/>
        <v>0</v>
      </c>
      <c r="S27" s="51">
        <f t="shared" si="8"/>
        <v>0.1</v>
      </c>
      <c r="T27" s="50">
        <f t="shared" si="4"/>
        <v>8140.62</v>
      </c>
      <c r="U27" s="52">
        <v>0.4</v>
      </c>
      <c r="V27" s="53">
        <f t="shared" si="9"/>
        <v>8848.5</v>
      </c>
      <c r="W27" s="53">
        <f t="shared" si="5"/>
        <v>98395.319999999992</v>
      </c>
      <c r="X27" s="222"/>
      <c r="Z27" s="7"/>
      <c r="AA27" s="8"/>
      <c r="AB27" s="8"/>
      <c r="AC27" s="13"/>
      <c r="AD27" s="7" t="str">
        <f t="shared" si="16"/>
        <v>Алинова А.М.</v>
      </c>
      <c r="AE27" s="16">
        <f t="shared" si="17"/>
        <v>1.25</v>
      </c>
      <c r="AF27" s="8">
        <f t="shared" si="18"/>
        <v>98395.319999999992</v>
      </c>
    </row>
    <row r="28" spans="1:32" s="6" customFormat="1" ht="15" x14ac:dyDescent="0.25">
      <c r="A28" s="34">
        <v>19</v>
      </c>
      <c r="B28" s="46" t="str">
        <f>'[1]РАСЧЁТЫ по действующей сист16'!B51</f>
        <v>Молдабаева А.Д.</v>
      </c>
      <c r="C28" s="56" t="s">
        <v>78</v>
      </c>
      <c r="D28" s="12" t="s">
        <v>28</v>
      </c>
      <c r="E28" s="71" t="s">
        <v>249</v>
      </c>
      <c r="F28" s="71"/>
      <c r="G28" s="71"/>
      <c r="H28" s="71" t="s">
        <v>65</v>
      </c>
      <c r="I28" s="12" t="s">
        <v>48</v>
      </c>
      <c r="J28" s="12" t="s">
        <v>56</v>
      </c>
      <c r="K28" s="5">
        <v>4</v>
      </c>
      <c r="L28" s="48">
        <v>17697</v>
      </c>
      <c r="M28" s="70">
        <v>1.25</v>
      </c>
      <c r="N28" s="71"/>
      <c r="O28" s="48">
        <v>2.87</v>
      </c>
      <c r="P28" s="48">
        <v>63487.99</v>
      </c>
      <c r="Q28" s="49">
        <f t="shared" si="3"/>
        <v>0</v>
      </c>
      <c r="R28" s="50">
        <f t="shared" si="7"/>
        <v>0</v>
      </c>
      <c r="S28" s="51">
        <f t="shared" si="8"/>
        <v>0.1</v>
      </c>
      <c r="T28" s="50">
        <f t="shared" si="4"/>
        <v>6348.799</v>
      </c>
      <c r="U28" s="52">
        <v>0.4</v>
      </c>
      <c r="V28" s="53">
        <f t="shared" si="9"/>
        <v>8848.5</v>
      </c>
      <c r="W28" s="53">
        <f t="shared" si="5"/>
        <v>78685.289000000004</v>
      </c>
      <c r="X28" s="222"/>
      <c r="Z28" s="7"/>
      <c r="AA28" s="8"/>
      <c r="AB28" s="8"/>
      <c r="AC28" s="13"/>
      <c r="AD28" s="7" t="str">
        <f t="shared" si="16"/>
        <v>Молдабаева А.Д.</v>
      </c>
      <c r="AE28" s="16">
        <f t="shared" si="17"/>
        <v>1.25</v>
      </c>
      <c r="AF28" s="8">
        <f t="shared" si="18"/>
        <v>78685.289000000004</v>
      </c>
    </row>
    <row r="29" spans="1:32" s="6" customFormat="1" ht="15" x14ac:dyDescent="0.25">
      <c r="A29" s="34">
        <v>20</v>
      </c>
      <c r="B29" s="46" t="str">
        <f>'[1]РАСЧЁТЫ по действующей сист16'!B52</f>
        <v>Манарова Р.О.</v>
      </c>
      <c r="C29" s="56" t="s">
        <v>78</v>
      </c>
      <c r="D29" s="12" t="s">
        <v>28</v>
      </c>
      <c r="E29" s="71" t="s">
        <v>228</v>
      </c>
      <c r="F29" s="71"/>
      <c r="G29" s="71"/>
      <c r="H29" s="71" t="s">
        <v>65</v>
      </c>
      <c r="I29" s="12" t="s">
        <v>48</v>
      </c>
      <c r="J29" s="12" t="s">
        <v>56</v>
      </c>
      <c r="K29" s="5">
        <v>4</v>
      </c>
      <c r="L29" s="48">
        <v>17697</v>
      </c>
      <c r="M29" s="70">
        <v>1.25</v>
      </c>
      <c r="N29" s="71"/>
      <c r="O29" s="48">
        <v>3.28</v>
      </c>
      <c r="P29" s="48">
        <v>72557.7</v>
      </c>
      <c r="Q29" s="49">
        <f t="shared" si="3"/>
        <v>0</v>
      </c>
      <c r="R29" s="50">
        <f t="shared" si="7"/>
        <v>0</v>
      </c>
      <c r="S29" s="51">
        <f t="shared" si="8"/>
        <v>0.1</v>
      </c>
      <c r="T29" s="50">
        <f t="shared" si="4"/>
        <v>7255.77</v>
      </c>
      <c r="U29" s="52">
        <v>0.4</v>
      </c>
      <c r="V29" s="53">
        <f t="shared" si="9"/>
        <v>8848.5</v>
      </c>
      <c r="W29" s="53">
        <f t="shared" si="5"/>
        <v>88661.97</v>
      </c>
      <c r="X29" s="222"/>
      <c r="Z29" s="7"/>
      <c r="AA29" s="8"/>
      <c r="AB29" s="8"/>
      <c r="AC29" s="13"/>
      <c r="AD29" s="7" t="str">
        <f t="shared" si="16"/>
        <v>Манарова Р.О.</v>
      </c>
      <c r="AE29" s="16">
        <f t="shared" si="17"/>
        <v>1.25</v>
      </c>
      <c r="AF29" s="8">
        <f t="shared" si="18"/>
        <v>88661.97</v>
      </c>
    </row>
    <row r="30" spans="1:32" s="6" customFormat="1" ht="30" x14ac:dyDescent="0.25">
      <c r="A30" s="34">
        <v>21</v>
      </c>
      <c r="B30" s="46" t="s">
        <v>261</v>
      </c>
      <c r="C30" s="56" t="s">
        <v>92</v>
      </c>
      <c r="D30" s="4" t="s">
        <v>35</v>
      </c>
      <c r="E30" s="4" t="s">
        <v>262</v>
      </c>
      <c r="F30" s="4"/>
      <c r="G30" s="4"/>
      <c r="H30" s="4">
        <v>1</v>
      </c>
      <c r="I30" s="12"/>
      <c r="J30" s="12"/>
      <c r="K30" s="5" t="s">
        <v>94</v>
      </c>
      <c r="L30" s="48">
        <v>17697</v>
      </c>
      <c r="M30" s="70">
        <v>0.25</v>
      </c>
      <c r="N30" s="71"/>
      <c r="O30" s="48">
        <v>1.72</v>
      </c>
      <c r="P30" s="48">
        <v>7609.71</v>
      </c>
      <c r="Q30" s="49">
        <f t="shared" si="3"/>
        <v>0</v>
      </c>
      <c r="R30" s="50">
        <f t="shared" si="7"/>
        <v>0</v>
      </c>
      <c r="S30" s="51">
        <f t="shared" si="8"/>
        <v>0.1</v>
      </c>
      <c r="T30" s="50">
        <f t="shared" si="4"/>
        <v>760.971</v>
      </c>
      <c r="U30" s="52"/>
      <c r="V30" s="53">
        <f t="shared" si="9"/>
        <v>0</v>
      </c>
      <c r="W30" s="53">
        <f t="shared" si="5"/>
        <v>8370.6810000000005</v>
      </c>
      <c r="X30" s="222"/>
      <c r="Z30" s="7"/>
      <c r="AA30" s="8"/>
      <c r="AB30" s="8"/>
      <c r="AC30" s="9"/>
      <c r="AD30" s="7" t="str">
        <f t="shared" si="16"/>
        <v>Кусаинов Д</v>
      </c>
      <c r="AE30" s="16">
        <f t="shared" si="17"/>
        <v>0.25</v>
      </c>
      <c r="AF30" s="8">
        <f t="shared" si="18"/>
        <v>8370.6810000000005</v>
      </c>
    </row>
    <row r="31" spans="1:32" s="6" customFormat="1" ht="15" x14ac:dyDescent="0.25">
      <c r="A31" s="34">
        <v>22</v>
      </c>
      <c r="B31" s="46" t="str">
        <f>'[1]РАСЧЁТЫ по действующей сист16'!B76</f>
        <v>Кабылдина Л.Ж.</v>
      </c>
      <c r="C31" s="56" t="s">
        <v>95</v>
      </c>
      <c r="D31" s="4" t="s">
        <v>35</v>
      </c>
      <c r="E31" s="71" t="s">
        <v>41</v>
      </c>
      <c r="F31" s="71"/>
      <c r="G31" s="71"/>
      <c r="H31" s="71" t="s">
        <v>65</v>
      </c>
      <c r="I31" s="12"/>
      <c r="J31" s="12"/>
      <c r="K31" s="5" t="s">
        <v>94</v>
      </c>
      <c r="L31" s="48">
        <v>17697</v>
      </c>
      <c r="M31" s="70">
        <v>1.25</v>
      </c>
      <c r="N31" s="57"/>
      <c r="O31" s="48">
        <v>1.68</v>
      </c>
      <c r="P31" s="48">
        <v>37163.699999999997</v>
      </c>
      <c r="Q31" s="49">
        <f t="shared" si="3"/>
        <v>0</v>
      </c>
      <c r="R31" s="50">
        <f t="shared" si="7"/>
        <v>0</v>
      </c>
      <c r="S31" s="51">
        <f t="shared" si="8"/>
        <v>0.1</v>
      </c>
      <c r="T31" s="50">
        <f t="shared" si="4"/>
        <v>3716.37</v>
      </c>
      <c r="U31" s="52">
        <v>0.7</v>
      </c>
      <c r="V31" s="53">
        <f t="shared" si="9"/>
        <v>15484.875</v>
      </c>
      <c r="W31" s="53">
        <f t="shared" si="5"/>
        <v>56364.945</v>
      </c>
      <c r="X31" s="222"/>
      <c r="Z31" s="7" t="str">
        <f t="shared" ref="Z31:Z35" si="19">B31</f>
        <v>Кабылдина Л.Ж.</v>
      </c>
      <c r="AA31" s="8">
        <f>M31</f>
        <v>1.25</v>
      </c>
      <c r="AB31" s="8">
        <f>W31</f>
        <v>56364.945</v>
      </c>
      <c r="AC31" s="9"/>
      <c r="AD31" s="7"/>
      <c r="AE31" s="16"/>
      <c r="AF31" s="8"/>
    </row>
    <row r="32" spans="1:32" s="6" customFormat="1" ht="15" x14ac:dyDescent="0.25">
      <c r="A32" s="34">
        <v>23</v>
      </c>
      <c r="B32" s="46" t="str">
        <f>'[1]РАСЧЁТЫ по действующей сист16'!B77</f>
        <v>Сагимбаева Ж.Ж.</v>
      </c>
      <c r="C32" s="56" t="s">
        <v>95</v>
      </c>
      <c r="D32" s="4" t="s">
        <v>35</v>
      </c>
      <c r="E32" s="71" t="s">
        <v>245</v>
      </c>
      <c r="F32" s="71"/>
      <c r="G32" s="71"/>
      <c r="H32" s="71" t="s">
        <v>65</v>
      </c>
      <c r="I32" s="12"/>
      <c r="J32" s="12"/>
      <c r="K32" s="5" t="s">
        <v>94</v>
      </c>
      <c r="L32" s="48">
        <v>17697</v>
      </c>
      <c r="M32" s="70">
        <v>1.25</v>
      </c>
      <c r="N32" s="57"/>
      <c r="O32" s="48">
        <v>1.84</v>
      </c>
      <c r="P32" s="48">
        <v>40703.1</v>
      </c>
      <c r="Q32" s="49">
        <f t="shared" si="3"/>
        <v>0</v>
      </c>
      <c r="R32" s="50">
        <f t="shared" si="7"/>
        <v>0</v>
      </c>
      <c r="S32" s="51">
        <f t="shared" si="8"/>
        <v>0.1</v>
      </c>
      <c r="T32" s="50">
        <f t="shared" si="4"/>
        <v>4070.31</v>
      </c>
      <c r="U32" s="52">
        <v>0.7</v>
      </c>
      <c r="V32" s="53">
        <f>L32*U32*M32</f>
        <v>15484.875</v>
      </c>
      <c r="W32" s="53">
        <f>P32+T32+V32</f>
        <v>60258.284999999996</v>
      </c>
      <c r="X32" s="222"/>
      <c r="Z32" s="7" t="str">
        <f t="shared" si="19"/>
        <v>Сагимбаева Ж.Ж.</v>
      </c>
      <c r="AA32" s="8">
        <f>M32</f>
        <v>1.25</v>
      </c>
      <c r="AB32" s="8">
        <f>W32</f>
        <v>60258.284999999996</v>
      </c>
      <c r="AC32" s="9"/>
      <c r="AD32" s="7"/>
      <c r="AE32" s="16"/>
      <c r="AF32" s="8"/>
    </row>
    <row r="33" spans="1:34" s="6" customFormat="1" ht="15" x14ac:dyDescent="0.25">
      <c r="A33" s="34">
        <v>24</v>
      </c>
      <c r="B33" s="46" t="s">
        <v>97</v>
      </c>
      <c r="C33" s="56" t="s">
        <v>95</v>
      </c>
      <c r="D33" s="4" t="s">
        <v>35</v>
      </c>
      <c r="E33" s="71" t="s">
        <v>262</v>
      </c>
      <c r="F33" s="71"/>
      <c r="G33" s="71"/>
      <c r="H33" s="71" t="s">
        <v>65</v>
      </c>
      <c r="I33" s="12"/>
      <c r="J33" s="12"/>
      <c r="K33" s="5" t="s">
        <v>94</v>
      </c>
      <c r="L33" s="48">
        <v>17697</v>
      </c>
      <c r="M33" s="70">
        <v>1.25</v>
      </c>
      <c r="N33" s="57"/>
      <c r="O33" s="48">
        <v>1.68</v>
      </c>
      <c r="P33" s="48">
        <v>37163.699999999997</v>
      </c>
      <c r="Q33" s="49">
        <f t="shared" si="3"/>
        <v>0</v>
      </c>
      <c r="R33" s="50">
        <f t="shared" si="7"/>
        <v>0</v>
      </c>
      <c r="S33" s="51">
        <f t="shared" si="8"/>
        <v>0.1</v>
      </c>
      <c r="T33" s="50">
        <f t="shared" si="4"/>
        <v>3716.37</v>
      </c>
      <c r="U33" s="52">
        <v>0.7</v>
      </c>
      <c r="V33" s="53">
        <f t="shared" si="9"/>
        <v>15484.875</v>
      </c>
      <c r="W33" s="53">
        <f t="shared" si="5"/>
        <v>56364.945</v>
      </c>
      <c r="X33" s="222"/>
      <c r="Z33" s="7" t="str">
        <f t="shared" si="19"/>
        <v>Арынова С. Ж.</v>
      </c>
      <c r="AA33" s="8">
        <f>M33</f>
        <v>1.25</v>
      </c>
      <c r="AB33" s="8">
        <f>W33</f>
        <v>56364.945</v>
      </c>
      <c r="AC33" s="9"/>
      <c r="AD33" s="7"/>
      <c r="AE33" s="16"/>
      <c r="AF33" s="8"/>
    </row>
    <row r="34" spans="1:34" s="6" customFormat="1" ht="15" x14ac:dyDescent="0.25">
      <c r="A34" s="4">
        <v>25</v>
      </c>
      <c r="B34" s="54" t="s">
        <v>217</v>
      </c>
      <c r="C34" s="56" t="s">
        <v>95</v>
      </c>
      <c r="D34" s="4" t="s">
        <v>35</v>
      </c>
      <c r="E34" s="71" t="s">
        <v>247</v>
      </c>
      <c r="F34" s="71"/>
      <c r="G34" s="71"/>
      <c r="H34" s="71" t="s">
        <v>65</v>
      </c>
      <c r="I34" s="12"/>
      <c r="J34" s="12"/>
      <c r="K34" s="5" t="s">
        <v>94</v>
      </c>
      <c r="L34" s="48">
        <v>17697</v>
      </c>
      <c r="M34" s="70">
        <v>1.25</v>
      </c>
      <c r="N34" s="57"/>
      <c r="O34" s="48">
        <v>1.8</v>
      </c>
      <c r="P34" s="48">
        <v>39818.25</v>
      </c>
      <c r="Q34" s="49">
        <f t="shared" si="3"/>
        <v>0</v>
      </c>
      <c r="R34" s="50">
        <f t="shared" si="7"/>
        <v>0</v>
      </c>
      <c r="S34" s="51">
        <f t="shared" si="8"/>
        <v>0.1</v>
      </c>
      <c r="T34" s="50">
        <f t="shared" si="4"/>
        <v>3981.8250000000003</v>
      </c>
      <c r="U34" s="52">
        <v>0.7</v>
      </c>
      <c r="V34" s="53">
        <f t="shared" si="9"/>
        <v>15484.875</v>
      </c>
      <c r="W34" s="53">
        <f t="shared" si="5"/>
        <v>59284.95</v>
      </c>
      <c r="X34" s="222"/>
      <c r="Z34" s="7" t="str">
        <f t="shared" si="19"/>
        <v>Алтыбаева Р.Ш.</v>
      </c>
      <c r="AA34" s="8">
        <f>M34</f>
        <v>1.25</v>
      </c>
      <c r="AB34" s="8">
        <f>W34</f>
        <v>59284.95</v>
      </c>
      <c r="AC34" s="9"/>
      <c r="AD34" s="7"/>
      <c r="AE34" s="16"/>
      <c r="AF34" s="8"/>
    </row>
    <row r="35" spans="1:34" s="6" customFormat="1" ht="15" x14ac:dyDescent="0.25">
      <c r="A35" s="4">
        <v>26</v>
      </c>
      <c r="B35" s="54" t="str">
        <f>'[1]РАСЧЁТЫ по действующей сист16'!B80</f>
        <v>Ибрагимова К.К.</v>
      </c>
      <c r="C35" s="56" t="s">
        <v>95</v>
      </c>
      <c r="D35" s="4" t="s">
        <v>35</v>
      </c>
      <c r="E35" s="71" t="s">
        <v>246</v>
      </c>
      <c r="F35" s="71"/>
      <c r="G35" s="71"/>
      <c r="H35" s="71" t="s">
        <v>65</v>
      </c>
      <c r="I35" s="12"/>
      <c r="J35" s="12"/>
      <c r="K35" s="5" t="s">
        <v>94</v>
      </c>
      <c r="L35" s="48">
        <v>17697</v>
      </c>
      <c r="M35" s="70">
        <v>1.25</v>
      </c>
      <c r="N35" s="57"/>
      <c r="O35" s="48">
        <v>1.76</v>
      </c>
      <c r="P35" s="48">
        <v>38933.4</v>
      </c>
      <c r="Q35" s="49">
        <f t="shared" si="3"/>
        <v>0</v>
      </c>
      <c r="R35" s="50">
        <f t="shared" si="7"/>
        <v>0</v>
      </c>
      <c r="S35" s="51">
        <f t="shared" si="8"/>
        <v>0.1</v>
      </c>
      <c r="T35" s="50">
        <f t="shared" si="4"/>
        <v>3893.34</v>
      </c>
      <c r="U35" s="52">
        <v>0.7</v>
      </c>
      <c r="V35" s="53">
        <f t="shared" si="9"/>
        <v>15484.875</v>
      </c>
      <c r="W35" s="53">
        <f t="shared" si="5"/>
        <v>58311.615000000005</v>
      </c>
      <c r="X35" s="222"/>
      <c r="Z35" s="7" t="str">
        <f t="shared" si="19"/>
        <v>Ибрагимова К.К.</v>
      </c>
      <c r="AA35" s="8">
        <f>M35</f>
        <v>1.25</v>
      </c>
      <c r="AB35" s="8">
        <f>W35</f>
        <v>58311.615000000005</v>
      </c>
      <c r="AC35" s="9"/>
      <c r="AD35" s="7"/>
      <c r="AE35" s="16"/>
      <c r="AF35" s="8"/>
    </row>
    <row r="36" spans="1:34" s="6" customFormat="1" ht="30.75" thickBot="1" x14ac:dyDescent="0.3">
      <c r="A36" s="59">
        <v>27</v>
      </c>
      <c r="B36" s="278" t="str">
        <f>'[1]РАСЧЁТЫ по действующей сист16'!B90</f>
        <v>Аллахвердиева И.В.</v>
      </c>
      <c r="C36" s="58" t="s">
        <v>99</v>
      </c>
      <c r="D36" s="59" t="s">
        <v>28</v>
      </c>
      <c r="E36" s="57" t="s">
        <v>258</v>
      </c>
      <c r="F36" s="57"/>
      <c r="G36" s="57"/>
      <c r="H36" s="57" t="s">
        <v>65</v>
      </c>
      <c r="I36" s="32" t="s">
        <v>48</v>
      </c>
      <c r="J36" s="32" t="s">
        <v>56</v>
      </c>
      <c r="K36" s="33">
        <v>1</v>
      </c>
      <c r="L36" s="60">
        <v>17697</v>
      </c>
      <c r="M36" s="279">
        <v>1.25</v>
      </c>
      <c r="N36" s="57" t="s">
        <v>101</v>
      </c>
      <c r="O36" s="60">
        <v>4.32</v>
      </c>
      <c r="P36" s="60">
        <v>95563.8</v>
      </c>
      <c r="Q36" s="280">
        <f t="shared" si="3"/>
        <v>0</v>
      </c>
      <c r="R36" s="281">
        <f t="shared" si="7"/>
        <v>0</v>
      </c>
      <c r="S36" s="282">
        <f t="shared" si="8"/>
        <v>0.1</v>
      </c>
      <c r="T36" s="281">
        <f t="shared" si="4"/>
        <v>9556.380000000001</v>
      </c>
      <c r="U36" s="283">
        <v>0.4</v>
      </c>
      <c r="V36" s="62">
        <f t="shared" si="9"/>
        <v>8848.5</v>
      </c>
      <c r="W36" s="62">
        <f t="shared" si="5"/>
        <v>113968.68000000001</v>
      </c>
      <c r="X36" s="222"/>
      <c r="Y36" s="11"/>
      <c r="Z36" s="7"/>
      <c r="AA36" s="8"/>
      <c r="AB36" s="8"/>
      <c r="AC36" s="13"/>
      <c r="AD36" s="7" t="str">
        <f>B36</f>
        <v>Аллахвердиева И.В.</v>
      </c>
      <c r="AE36" s="16">
        <f>M36</f>
        <v>1.25</v>
      </c>
      <c r="AF36" s="8">
        <f>W36</f>
        <v>113968.68000000001</v>
      </c>
    </row>
    <row r="37" spans="1:34" s="6" customFormat="1" ht="15.75" thickBot="1" x14ac:dyDescent="0.3">
      <c r="A37" s="528" t="s">
        <v>102</v>
      </c>
      <c r="B37" s="529"/>
      <c r="C37" s="529"/>
      <c r="D37" s="529"/>
      <c r="E37" s="276"/>
      <c r="F37" s="276"/>
      <c r="G37" s="276"/>
      <c r="H37" s="276"/>
      <c r="I37" s="276"/>
      <c r="J37" s="276"/>
      <c r="K37" s="276"/>
      <c r="L37" s="258"/>
      <c r="M37" s="274">
        <f>SUM(M13:M36)</f>
        <v>25</v>
      </c>
      <c r="N37" s="274"/>
      <c r="O37" s="274"/>
      <c r="P37" s="274">
        <f>SUM(P13:P36)</f>
        <v>1260292.2599999998</v>
      </c>
      <c r="Q37" s="274">
        <f>SUM(Q13:Q36)</f>
        <v>0</v>
      </c>
      <c r="R37" s="275">
        <f>SUM(R13:R36)</f>
        <v>0</v>
      </c>
      <c r="S37" s="275"/>
      <c r="T37" s="275">
        <f>SUM(T13:T36)</f>
        <v>126029.22600000001</v>
      </c>
      <c r="U37" s="275"/>
      <c r="V37" s="275">
        <f>SUM(V13:V36)</f>
        <v>197763.97500000001</v>
      </c>
      <c r="W37" s="285">
        <f>SUM(W13:W36)</f>
        <v>1584085.4610000001</v>
      </c>
      <c r="X37" s="11"/>
      <c r="Z37" s="7" t="s">
        <v>103</v>
      </c>
      <c r="AA37" s="53">
        <f>SUM(AA13:AA36)</f>
        <v>10.5</v>
      </c>
      <c r="AB37" s="53">
        <f>SUM(AB13:AB36)</f>
        <v>479845.30100000004</v>
      </c>
      <c r="AC37" s="13"/>
      <c r="AD37" s="7" t="s">
        <v>104</v>
      </c>
      <c r="AE37" s="53">
        <f>SUM(AE13:AE36)</f>
        <v>14.5</v>
      </c>
      <c r="AF37" s="53">
        <f>SUM(AF13:AF36)</f>
        <v>1040398.2270000001</v>
      </c>
      <c r="AH37" s="11"/>
    </row>
    <row r="38" spans="1:34" s="6" customFormat="1" ht="15" x14ac:dyDescent="0.25">
      <c r="A38" s="34">
        <v>28</v>
      </c>
      <c r="B38" s="240" t="s">
        <v>105</v>
      </c>
      <c r="C38" s="67" t="s">
        <v>106</v>
      </c>
      <c r="D38" s="34" t="s">
        <v>35</v>
      </c>
      <c r="E38" s="34" t="s">
        <v>41</v>
      </c>
      <c r="F38" s="284"/>
      <c r="G38" s="284"/>
      <c r="H38" s="34">
        <v>1</v>
      </c>
      <c r="I38" s="242"/>
      <c r="J38" s="242"/>
      <c r="K38" s="34">
        <v>5</v>
      </c>
      <c r="L38" s="68">
        <v>17697</v>
      </c>
      <c r="M38" s="68">
        <v>1</v>
      </c>
      <c r="N38" s="68"/>
      <c r="O38" s="68">
        <v>2.1</v>
      </c>
      <c r="P38" s="68">
        <f t="shared" ref="P38:P52" si="20">L38*O38</f>
        <v>37163.700000000004</v>
      </c>
      <c r="Q38" s="49">
        <f>IF(G38&gt;0,25%,0)</f>
        <v>0</v>
      </c>
      <c r="R38" s="50">
        <f>ROUND((P38+T38)*Q38,2)</f>
        <v>0</v>
      </c>
      <c r="S38" s="51">
        <f>IF(H38&gt;0,10%,0)</f>
        <v>0.1</v>
      </c>
      <c r="T38" s="50">
        <f t="shared" si="4"/>
        <v>3716.3700000000008</v>
      </c>
      <c r="U38" s="52">
        <v>0.3</v>
      </c>
      <c r="V38" s="50">
        <f t="shared" ref="V38:V43" si="21">L38*U38*M38</f>
        <v>5309.0999999999995</v>
      </c>
      <c r="W38" s="50">
        <f t="shared" si="5"/>
        <v>46189.170000000006</v>
      </c>
      <c r="X38" s="222"/>
      <c r="Z38" s="7" t="str">
        <f t="shared" ref="Z38:Z52" si="22">B38</f>
        <v>Мукушева Г. Х.</v>
      </c>
      <c r="AA38" s="8">
        <f t="shared" ref="AA38:AA52" si="23">M38</f>
        <v>1</v>
      </c>
      <c r="AB38" s="8">
        <f t="shared" ref="AB38:AB52" si="24">W38</f>
        <v>46189.170000000006</v>
      </c>
      <c r="AD38" s="7"/>
      <c r="AE38" s="16"/>
      <c r="AF38" s="8"/>
    </row>
    <row r="39" spans="1:34" s="6" customFormat="1" ht="15" x14ac:dyDescent="0.25">
      <c r="A39" s="4">
        <v>29</v>
      </c>
      <c r="B39" s="277" t="s">
        <v>107</v>
      </c>
      <c r="C39" s="56" t="s">
        <v>106</v>
      </c>
      <c r="D39" s="4" t="s">
        <v>35</v>
      </c>
      <c r="E39" s="4" t="s">
        <v>41</v>
      </c>
      <c r="F39" s="241"/>
      <c r="G39" s="241"/>
      <c r="H39" s="4">
        <v>1</v>
      </c>
      <c r="I39" s="12"/>
      <c r="J39" s="12"/>
      <c r="K39" s="4">
        <v>5</v>
      </c>
      <c r="L39" s="48">
        <v>17697</v>
      </c>
      <c r="M39" s="48">
        <v>1</v>
      </c>
      <c r="N39" s="48"/>
      <c r="O39" s="68">
        <v>2.1</v>
      </c>
      <c r="P39" s="68">
        <f t="shared" si="20"/>
        <v>37163.700000000004</v>
      </c>
      <c r="Q39" s="49">
        <f>IF(G39&gt;0,25%,0)</f>
        <v>0</v>
      </c>
      <c r="R39" s="50">
        <f>ROUND((P39+T39)*Q39,2)</f>
        <v>0</v>
      </c>
      <c r="S39" s="51">
        <f t="shared" ref="S39:S52" si="25">IF(H39&gt;0,10%,0)</f>
        <v>0.1</v>
      </c>
      <c r="T39" s="50">
        <f t="shared" si="4"/>
        <v>3716.3700000000008</v>
      </c>
      <c r="U39" s="55">
        <v>0.3</v>
      </c>
      <c r="V39" s="53">
        <f t="shared" si="21"/>
        <v>5309.0999999999995</v>
      </c>
      <c r="W39" s="53">
        <f t="shared" si="5"/>
        <v>46189.170000000006</v>
      </c>
      <c r="X39" s="222"/>
      <c r="Z39" s="7" t="str">
        <f>B39</f>
        <v>Токсамбаева К.К.</v>
      </c>
      <c r="AA39" s="8">
        <f t="shared" si="23"/>
        <v>1</v>
      </c>
      <c r="AB39" s="8">
        <f t="shared" si="24"/>
        <v>46189.170000000006</v>
      </c>
      <c r="AD39" s="7"/>
      <c r="AE39" s="16"/>
      <c r="AF39" s="8"/>
    </row>
    <row r="40" spans="1:34" s="6" customFormat="1" ht="15" x14ac:dyDescent="0.25">
      <c r="A40" s="4">
        <v>30</v>
      </c>
      <c r="B40" s="277" t="s">
        <v>108</v>
      </c>
      <c r="C40" s="56" t="s">
        <v>109</v>
      </c>
      <c r="D40" s="4" t="s">
        <v>35</v>
      </c>
      <c r="E40" s="4" t="s">
        <v>41</v>
      </c>
      <c r="F40" s="241"/>
      <c r="G40" s="241"/>
      <c r="H40" s="4">
        <v>1</v>
      </c>
      <c r="I40" s="12"/>
      <c r="J40" s="12"/>
      <c r="K40" s="4">
        <v>2</v>
      </c>
      <c r="L40" s="48">
        <v>17697</v>
      </c>
      <c r="M40" s="48">
        <v>0.5</v>
      </c>
      <c r="N40" s="48"/>
      <c r="O40" s="68">
        <v>1.71</v>
      </c>
      <c r="P40" s="68">
        <f>L40*O40/2</f>
        <v>15130.934999999999</v>
      </c>
      <c r="Q40" s="49">
        <f t="shared" ref="Q40:Q52" si="26">IF(G40&gt;0,25%,0)</f>
        <v>0</v>
      </c>
      <c r="R40" s="50">
        <f t="shared" ref="R40:R52" si="27">ROUND((P40+T40)*Q40,2)</f>
        <v>0</v>
      </c>
      <c r="S40" s="51">
        <f t="shared" si="25"/>
        <v>0.1</v>
      </c>
      <c r="T40" s="50">
        <f t="shared" si="4"/>
        <v>1513.0934999999999</v>
      </c>
      <c r="U40" s="55"/>
      <c r="V40" s="53"/>
      <c r="W40" s="53">
        <f t="shared" si="5"/>
        <v>16644.0285</v>
      </c>
      <c r="X40" s="222"/>
      <c r="Z40" s="7" t="str">
        <f>B40</f>
        <v>Вакансия</v>
      </c>
      <c r="AA40" s="8">
        <f t="shared" si="23"/>
        <v>0.5</v>
      </c>
      <c r="AB40" s="8">
        <f t="shared" si="24"/>
        <v>16644.0285</v>
      </c>
      <c r="AD40" s="7"/>
      <c r="AE40" s="16"/>
      <c r="AF40" s="8"/>
    </row>
    <row r="41" spans="1:34" s="6" customFormat="1" ht="15" x14ac:dyDescent="0.25">
      <c r="A41" s="4">
        <v>31</v>
      </c>
      <c r="B41" s="277" t="s">
        <v>110</v>
      </c>
      <c r="C41" s="56" t="s">
        <v>111</v>
      </c>
      <c r="D41" s="4" t="s">
        <v>35</v>
      </c>
      <c r="E41" s="4" t="s">
        <v>41</v>
      </c>
      <c r="F41" s="241"/>
      <c r="G41" s="241"/>
      <c r="H41" s="4">
        <v>1</v>
      </c>
      <c r="I41" s="12"/>
      <c r="J41" s="12"/>
      <c r="K41" s="4">
        <v>3</v>
      </c>
      <c r="L41" s="48">
        <v>17697</v>
      </c>
      <c r="M41" s="48">
        <v>0.5</v>
      </c>
      <c r="N41" s="48"/>
      <c r="O41" s="68">
        <v>1.83</v>
      </c>
      <c r="P41" s="68">
        <v>16192.75</v>
      </c>
      <c r="Q41" s="49">
        <f t="shared" si="26"/>
        <v>0</v>
      </c>
      <c r="R41" s="50">
        <f t="shared" si="27"/>
        <v>0</v>
      </c>
      <c r="S41" s="51">
        <f t="shared" si="25"/>
        <v>0.1</v>
      </c>
      <c r="T41" s="50">
        <f t="shared" si="4"/>
        <v>1619.2750000000001</v>
      </c>
      <c r="U41" s="55"/>
      <c r="V41" s="53"/>
      <c r="W41" s="53">
        <f t="shared" si="5"/>
        <v>17812.025000000001</v>
      </c>
      <c r="X41" s="222"/>
      <c r="Z41" s="7" t="str">
        <f t="shared" si="22"/>
        <v>Гребенева О .Я.</v>
      </c>
      <c r="AA41" s="8">
        <f t="shared" si="23"/>
        <v>0.5</v>
      </c>
      <c r="AB41" s="8">
        <f t="shared" si="24"/>
        <v>17812.025000000001</v>
      </c>
      <c r="AC41" s="13"/>
      <c r="AD41" s="7"/>
      <c r="AE41" s="16"/>
      <c r="AF41" s="8"/>
    </row>
    <row r="42" spans="1:34" s="6" customFormat="1" ht="30" x14ac:dyDescent="0.25">
      <c r="A42" s="4">
        <v>32</v>
      </c>
      <c r="B42" s="277" t="str">
        <f>'[1]РАСЧЁТЫ по действующей сист16'!B101</f>
        <v>Бесенбаева Е.К.</v>
      </c>
      <c r="C42" s="56" t="s">
        <v>112</v>
      </c>
      <c r="D42" s="4" t="s">
        <v>35</v>
      </c>
      <c r="E42" s="4" t="s">
        <v>41</v>
      </c>
      <c r="F42" s="4"/>
      <c r="G42" s="4"/>
      <c r="H42" s="4">
        <v>1</v>
      </c>
      <c r="I42" s="12"/>
      <c r="J42" s="12"/>
      <c r="K42" s="4">
        <v>2</v>
      </c>
      <c r="L42" s="48">
        <v>17697</v>
      </c>
      <c r="M42" s="48">
        <v>1</v>
      </c>
      <c r="N42" s="48"/>
      <c r="O42" s="48">
        <v>1.71</v>
      </c>
      <c r="P42" s="68">
        <f t="shared" si="20"/>
        <v>30261.87</v>
      </c>
      <c r="Q42" s="49">
        <f t="shared" si="26"/>
        <v>0</v>
      </c>
      <c r="R42" s="50">
        <f t="shared" si="27"/>
        <v>0</v>
      </c>
      <c r="S42" s="51">
        <f t="shared" si="25"/>
        <v>0.1</v>
      </c>
      <c r="T42" s="50">
        <f t="shared" si="4"/>
        <v>3026.1869999999999</v>
      </c>
      <c r="U42" s="55">
        <v>0.3</v>
      </c>
      <c r="V42" s="53">
        <f t="shared" si="21"/>
        <v>5309.0999999999995</v>
      </c>
      <c r="W42" s="53">
        <f t="shared" si="5"/>
        <v>38597.156999999999</v>
      </c>
      <c r="X42" s="222"/>
      <c r="Z42" s="7" t="str">
        <f t="shared" si="22"/>
        <v>Бесенбаева Е.К.</v>
      </c>
      <c r="AA42" s="8">
        <f t="shared" si="23"/>
        <v>1</v>
      </c>
      <c r="AB42" s="8">
        <f t="shared" si="24"/>
        <v>38597.156999999999</v>
      </c>
      <c r="AC42" s="13"/>
      <c r="AD42" s="7"/>
      <c r="AE42" s="16"/>
      <c r="AF42" s="8"/>
    </row>
    <row r="43" spans="1:34" s="6" customFormat="1" ht="30" x14ac:dyDescent="0.25">
      <c r="A43" s="4">
        <v>33</v>
      </c>
      <c r="B43" s="277" t="s">
        <v>216</v>
      </c>
      <c r="C43" s="56" t="s">
        <v>113</v>
      </c>
      <c r="D43" s="4" t="s">
        <v>28</v>
      </c>
      <c r="E43" s="4" t="s">
        <v>41</v>
      </c>
      <c r="F43" s="4"/>
      <c r="G43" s="4"/>
      <c r="H43" s="4">
        <v>1</v>
      </c>
      <c r="I43" s="12"/>
      <c r="J43" s="12"/>
      <c r="K43" s="4">
        <v>2</v>
      </c>
      <c r="L43" s="48">
        <v>17697</v>
      </c>
      <c r="M43" s="48">
        <v>1</v>
      </c>
      <c r="N43" s="48"/>
      <c r="O43" s="4">
        <v>1.71</v>
      </c>
      <c r="P43" s="68">
        <f t="shared" si="20"/>
        <v>30261.87</v>
      </c>
      <c r="Q43" s="49">
        <f t="shared" si="26"/>
        <v>0</v>
      </c>
      <c r="R43" s="50">
        <f t="shared" si="27"/>
        <v>0</v>
      </c>
      <c r="S43" s="51">
        <f t="shared" si="25"/>
        <v>0.1</v>
      </c>
      <c r="T43" s="50">
        <f t="shared" si="4"/>
        <v>3026.1869999999999</v>
      </c>
      <c r="U43" s="55">
        <v>0.3</v>
      </c>
      <c r="V43" s="53">
        <f t="shared" si="21"/>
        <v>5309.0999999999995</v>
      </c>
      <c r="W43" s="53">
        <f t="shared" si="5"/>
        <v>38597.156999999999</v>
      </c>
      <c r="X43" s="222"/>
      <c r="Z43" s="7" t="str">
        <f t="shared" si="22"/>
        <v>Байманбетова А.Ш.</v>
      </c>
      <c r="AA43" s="8">
        <f t="shared" si="23"/>
        <v>1</v>
      </c>
      <c r="AB43" s="8">
        <f t="shared" si="24"/>
        <v>38597.156999999999</v>
      </c>
      <c r="AC43" s="13"/>
      <c r="AD43" s="7"/>
      <c r="AE43" s="16"/>
      <c r="AF43" s="8"/>
    </row>
    <row r="44" spans="1:34" s="6" customFormat="1" ht="38.25" customHeight="1" x14ac:dyDescent="0.25">
      <c r="A44" s="4">
        <v>34</v>
      </c>
      <c r="B44" s="277" t="s">
        <v>108</v>
      </c>
      <c r="C44" s="56" t="s">
        <v>114</v>
      </c>
      <c r="D44" s="4" t="s">
        <v>35</v>
      </c>
      <c r="E44" s="4" t="s">
        <v>41</v>
      </c>
      <c r="F44" s="4"/>
      <c r="G44" s="4"/>
      <c r="H44" s="4">
        <v>1</v>
      </c>
      <c r="I44" s="12"/>
      <c r="J44" s="12"/>
      <c r="K44" s="4">
        <v>2</v>
      </c>
      <c r="L44" s="48">
        <v>17697</v>
      </c>
      <c r="M44" s="48">
        <v>1</v>
      </c>
      <c r="N44" s="48"/>
      <c r="O44" s="4">
        <v>1.71</v>
      </c>
      <c r="P44" s="68">
        <f>L44*O44/2</f>
        <v>15130.934999999999</v>
      </c>
      <c r="Q44" s="49">
        <f t="shared" si="26"/>
        <v>0</v>
      </c>
      <c r="R44" s="50">
        <f t="shared" si="27"/>
        <v>0</v>
      </c>
      <c r="S44" s="51">
        <f t="shared" si="25"/>
        <v>0.1</v>
      </c>
      <c r="T44" s="50">
        <f t="shared" si="4"/>
        <v>1513.0934999999999</v>
      </c>
      <c r="U44" s="55"/>
      <c r="V44" s="53"/>
      <c r="W44" s="53">
        <f t="shared" si="5"/>
        <v>16644.0285</v>
      </c>
      <c r="X44" s="222"/>
      <c r="Z44" s="7" t="str">
        <f t="shared" si="22"/>
        <v>Вакансия</v>
      </c>
      <c r="AA44" s="8">
        <f t="shared" si="23"/>
        <v>1</v>
      </c>
      <c r="AB44" s="8">
        <f t="shared" si="24"/>
        <v>16644.0285</v>
      </c>
      <c r="AC44" s="13"/>
      <c r="AD44" s="7"/>
      <c r="AE44" s="16"/>
      <c r="AF44" s="8"/>
    </row>
    <row r="45" spans="1:34" s="6" customFormat="1" ht="38.25" customHeight="1" x14ac:dyDescent="0.25">
      <c r="A45" s="4">
        <v>35</v>
      </c>
      <c r="B45" s="277" t="s">
        <v>265</v>
      </c>
      <c r="C45" s="56" t="s">
        <v>114</v>
      </c>
      <c r="D45" s="4" t="s">
        <v>35</v>
      </c>
      <c r="E45" s="4" t="s">
        <v>41</v>
      </c>
      <c r="F45" s="4"/>
      <c r="G45" s="4"/>
      <c r="H45" s="4">
        <v>1</v>
      </c>
      <c r="I45" s="12"/>
      <c r="J45" s="12"/>
      <c r="K45" s="4">
        <v>2</v>
      </c>
      <c r="L45" s="48">
        <v>17697</v>
      </c>
      <c r="M45" s="48">
        <v>0.5</v>
      </c>
      <c r="N45" s="48"/>
      <c r="O45" s="4">
        <v>1.71</v>
      </c>
      <c r="P45" s="68">
        <f>L45*O45/2</f>
        <v>15130.934999999999</v>
      </c>
      <c r="Q45" s="49">
        <f t="shared" ref="Q45" si="28">IF(G45&gt;0,25%,0)</f>
        <v>0</v>
      </c>
      <c r="R45" s="50">
        <f t="shared" ref="R45" si="29">ROUND((P45+T45)*Q45,2)</f>
        <v>0</v>
      </c>
      <c r="S45" s="51">
        <f t="shared" ref="S45" si="30">IF(H45&gt;0,10%,0)</f>
        <v>0.1</v>
      </c>
      <c r="T45" s="50">
        <f t="shared" ref="T45" si="31">P45*10%</f>
        <v>1513.0934999999999</v>
      </c>
      <c r="U45" s="55"/>
      <c r="V45" s="53"/>
      <c r="W45" s="53">
        <f t="shared" ref="W45" si="32">P45+T45+V45</f>
        <v>16644.0285</v>
      </c>
      <c r="X45" s="222"/>
      <c r="Z45" s="7" t="str">
        <f t="shared" ref="Z45" si="33">B45</f>
        <v xml:space="preserve">Вакансия </v>
      </c>
      <c r="AA45" s="8">
        <f t="shared" ref="AA45" si="34">M45</f>
        <v>0.5</v>
      </c>
      <c r="AB45" s="8">
        <f t="shared" ref="AB45" si="35">W45</f>
        <v>16644.0285</v>
      </c>
      <c r="AC45" s="13"/>
      <c r="AD45" s="7"/>
      <c r="AE45" s="16"/>
      <c r="AF45" s="8"/>
    </row>
    <row r="46" spans="1:34" s="6" customFormat="1" ht="15" x14ac:dyDescent="0.25">
      <c r="A46" s="4">
        <v>36</v>
      </c>
      <c r="B46" s="277" t="str">
        <f>'[1]РАСЧЁТЫ по действующей сист16'!B114</f>
        <v>Парада В.</v>
      </c>
      <c r="C46" s="56" t="s">
        <v>115</v>
      </c>
      <c r="D46" s="4" t="s">
        <v>35</v>
      </c>
      <c r="E46" s="4" t="s">
        <v>41</v>
      </c>
      <c r="F46" s="4"/>
      <c r="G46" s="4"/>
      <c r="H46" s="4">
        <v>1</v>
      </c>
      <c r="I46" s="12"/>
      <c r="J46" s="12"/>
      <c r="K46" s="4">
        <v>4</v>
      </c>
      <c r="L46" s="48">
        <v>17697</v>
      </c>
      <c r="M46" s="48">
        <v>0.5</v>
      </c>
      <c r="N46" s="48"/>
      <c r="O46" s="4">
        <v>1.96</v>
      </c>
      <c r="P46" s="68">
        <f>L46*O46/2</f>
        <v>17343.060000000001</v>
      </c>
      <c r="Q46" s="49">
        <f t="shared" si="26"/>
        <v>0</v>
      </c>
      <c r="R46" s="50">
        <f t="shared" si="27"/>
        <v>0</v>
      </c>
      <c r="S46" s="51">
        <f t="shared" si="25"/>
        <v>0.1</v>
      </c>
      <c r="T46" s="50">
        <f t="shared" si="4"/>
        <v>1734.3060000000003</v>
      </c>
      <c r="U46" s="55"/>
      <c r="V46" s="53"/>
      <c r="W46" s="53">
        <f t="shared" si="5"/>
        <v>19077.366000000002</v>
      </c>
      <c r="X46" s="222"/>
      <c r="Z46" s="7" t="str">
        <f>B46</f>
        <v>Парада В.</v>
      </c>
      <c r="AA46" s="8">
        <f t="shared" si="23"/>
        <v>0.5</v>
      </c>
      <c r="AB46" s="8">
        <f t="shared" si="24"/>
        <v>19077.366000000002</v>
      </c>
      <c r="AC46" s="13"/>
      <c r="AD46" s="7"/>
      <c r="AE46" s="16"/>
      <c r="AF46" s="8"/>
    </row>
    <row r="47" spans="1:34" s="6" customFormat="1" ht="15" x14ac:dyDescent="0.25">
      <c r="A47" s="4">
        <v>37</v>
      </c>
      <c r="B47" s="277" t="s">
        <v>265</v>
      </c>
      <c r="C47" s="56" t="s">
        <v>115</v>
      </c>
      <c r="D47" s="4" t="s">
        <v>35</v>
      </c>
      <c r="E47" s="4" t="s">
        <v>41</v>
      </c>
      <c r="F47" s="4"/>
      <c r="G47" s="4"/>
      <c r="H47" s="4">
        <v>1</v>
      </c>
      <c r="I47" s="12"/>
      <c r="J47" s="12"/>
      <c r="K47" s="4">
        <v>4</v>
      </c>
      <c r="L47" s="48">
        <v>17697</v>
      </c>
      <c r="M47" s="48">
        <v>0.5</v>
      </c>
      <c r="N47" s="48"/>
      <c r="O47" s="4">
        <v>1.96</v>
      </c>
      <c r="P47" s="68">
        <f>L47*O47/2</f>
        <v>17343.060000000001</v>
      </c>
      <c r="Q47" s="49">
        <f t="shared" ref="Q47" si="36">IF(G47&gt;0,25%,0)</f>
        <v>0</v>
      </c>
      <c r="R47" s="50">
        <f t="shared" ref="R47" si="37">ROUND((P47+T47)*Q47,2)</f>
        <v>0</v>
      </c>
      <c r="S47" s="51">
        <f t="shared" ref="S47" si="38">IF(H47&gt;0,10%,0)</f>
        <v>0.1</v>
      </c>
      <c r="T47" s="50">
        <f t="shared" ref="T47" si="39">P47*10%</f>
        <v>1734.3060000000003</v>
      </c>
      <c r="U47" s="55"/>
      <c r="V47" s="53"/>
      <c r="W47" s="53">
        <f t="shared" ref="W47" si="40">P47+T47+V47</f>
        <v>19077.366000000002</v>
      </c>
      <c r="X47" s="222"/>
      <c r="Z47" s="7"/>
      <c r="AA47" s="8"/>
      <c r="AB47" s="8"/>
      <c r="AC47" s="13"/>
      <c r="AD47" s="7"/>
      <c r="AE47" s="16"/>
      <c r="AF47" s="8"/>
    </row>
    <row r="48" spans="1:34" s="6" customFormat="1" ht="15" x14ac:dyDescent="0.25">
      <c r="A48" s="4">
        <v>38</v>
      </c>
      <c r="B48" s="277" t="s">
        <v>116</v>
      </c>
      <c r="C48" s="56" t="s">
        <v>117</v>
      </c>
      <c r="D48" s="4" t="s">
        <v>28</v>
      </c>
      <c r="E48" s="4" t="s">
        <v>41</v>
      </c>
      <c r="F48" s="4"/>
      <c r="G48" s="4"/>
      <c r="H48" s="4">
        <v>1</v>
      </c>
      <c r="I48" s="12"/>
      <c r="J48" s="12"/>
      <c r="K48" s="4">
        <v>4</v>
      </c>
      <c r="L48" s="48">
        <v>17697</v>
      </c>
      <c r="M48" s="48">
        <v>0.5</v>
      </c>
      <c r="N48" s="48"/>
      <c r="O48" s="4">
        <v>1.96</v>
      </c>
      <c r="P48" s="68">
        <v>17343.060000000001</v>
      </c>
      <c r="Q48" s="49">
        <f t="shared" si="26"/>
        <v>0</v>
      </c>
      <c r="R48" s="50">
        <f t="shared" si="27"/>
        <v>0</v>
      </c>
      <c r="S48" s="51">
        <f t="shared" si="25"/>
        <v>0.1</v>
      </c>
      <c r="T48" s="50">
        <f t="shared" si="4"/>
        <v>1734.3060000000003</v>
      </c>
      <c r="U48" s="55"/>
      <c r="V48" s="53"/>
      <c r="W48" s="53">
        <f t="shared" si="5"/>
        <v>19077.366000000002</v>
      </c>
      <c r="X48" s="222"/>
      <c r="Z48" s="7" t="str">
        <f>B48</f>
        <v>Жайлауов А. М.</v>
      </c>
      <c r="AA48" s="8">
        <f t="shared" si="23"/>
        <v>0.5</v>
      </c>
      <c r="AB48" s="8">
        <f t="shared" si="24"/>
        <v>19077.366000000002</v>
      </c>
      <c r="AC48" s="13"/>
      <c r="AD48" s="7"/>
      <c r="AE48" s="16"/>
      <c r="AF48" s="8"/>
    </row>
    <row r="49" spans="1:32" s="6" customFormat="1" ht="15" x14ac:dyDescent="0.25">
      <c r="A49" s="4">
        <v>39</v>
      </c>
      <c r="B49" s="277" t="str">
        <f>'[1]РАСЧЁТЫ по действующей сист16'!B117</f>
        <v>Абуталипов Н.</v>
      </c>
      <c r="C49" s="243" t="s">
        <v>119</v>
      </c>
      <c r="D49" s="4" t="s">
        <v>118</v>
      </c>
      <c r="E49" s="4" t="s">
        <v>41</v>
      </c>
      <c r="F49" s="4"/>
      <c r="G49" s="4"/>
      <c r="H49" s="4">
        <v>1</v>
      </c>
      <c r="I49" s="12"/>
      <c r="J49" s="12"/>
      <c r="K49" s="4">
        <v>1</v>
      </c>
      <c r="L49" s="48">
        <v>17697</v>
      </c>
      <c r="M49" s="48">
        <v>1</v>
      </c>
      <c r="N49" s="48"/>
      <c r="O49" s="4">
        <v>1.6</v>
      </c>
      <c r="P49" s="68">
        <f t="shared" si="20"/>
        <v>28315.200000000001</v>
      </c>
      <c r="Q49" s="49">
        <f t="shared" si="26"/>
        <v>0</v>
      </c>
      <c r="R49" s="50">
        <f t="shared" si="27"/>
        <v>0</v>
      </c>
      <c r="S49" s="51">
        <f t="shared" si="25"/>
        <v>0.1</v>
      </c>
      <c r="T49" s="50">
        <f t="shared" si="4"/>
        <v>2831.5200000000004</v>
      </c>
      <c r="U49" s="55"/>
      <c r="V49" s="53">
        <v>8632.68</v>
      </c>
      <c r="W49" s="53">
        <f t="shared" si="5"/>
        <v>39779.4</v>
      </c>
      <c r="X49" s="222"/>
      <c r="Z49" s="7" t="str">
        <f t="shared" si="22"/>
        <v>Абуталипов Н.</v>
      </c>
      <c r="AA49" s="8">
        <f t="shared" si="23"/>
        <v>1</v>
      </c>
      <c r="AB49" s="8">
        <f t="shared" si="24"/>
        <v>39779.4</v>
      </c>
      <c r="AC49" s="262"/>
      <c r="AD49" s="7"/>
      <c r="AE49" s="16"/>
      <c r="AF49" s="8"/>
    </row>
    <row r="50" spans="1:32" s="6" customFormat="1" ht="15" x14ac:dyDescent="0.25">
      <c r="A50" s="4">
        <v>40</v>
      </c>
      <c r="B50" s="240" t="str">
        <f>'[1]РАСЧЁТЫ по действующей сист16'!B118</f>
        <v>Медиев М.</v>
      </c>
      <c r="C50" s="243" t="s">
        <v>119</v>
      </c>
      <c r="D50" s="4" t="s">
        <v>118</v>
      </c>
      <c r="E50" s="4" t="s">
        <v>41</v>
      </c>
      <c r="F50" s="4"/>
      <c r="G50" s="4"/>
      <c r="H50" s="4">
        <v>1</v>
      </c>
      <c r="I50" s="12"/>
      <c r="J50" s="12"/>
      <c r="K50" s="4">
        <v>1</v>
      </c>
      <c r="L50" s="68">
        <v>17697</v>
      </c>
      <c r="M50" s="48">
        <v>1</v>
      </c>
      <c r="N50" s="48"/>
      <c r="O50" s="4">
        <v>1.6</v>
      </c>
      <c r="P50" s="68">
        <f t="shared" si="20"/>
        <v>28315.200000000001</v>
      </c>
      <c r="Q50" s="49">
        <f t="shared" si="26"/>
        <v>0</v>
      </c>
      <c r="R50" s="50">
        <f t="shared" si="27"/>
        <v>0</v>
      </c>
      <c r="S50" s="51">
        <f t="shared" si="25"/>
        <v>0.1</v>
      </c>
      <c r="T50" s="50">
        <f t="shared" si="4"/>
        <v>2831.5200000000004</v>
      </c>
      <c r="U50" s="55"/>
      <c r="V50" s="53">
        <v>8632.68</v>
      </c>
      <c r="W50" s="53">
        <f t="shared" si="5"/>
        <v>39779.4</v>
      </c>
      <c r="X50" s="222"/>
      <c r="Z50" s="7" t="str">
        <f t="shared" si="22"/>
        <v>Медиев М.</v>
      </c>
      <c r="AA50" s="8">
        <f t="shared" si="23"/>
        <v>1</v>
      </c>
      <c r="AB50" s="8">
        <f t="shared" si="24"/>
        <v>39779.4</v>
      </c>
      <c r="AD50" s="7"/>
      <c r="AE50" s="16"/>
      <c r="AF50" s="8"/>
    </row>
    <row r="51" spans="1:32" s="6" customFormat="1" ht="15" x14ac:dyDescent="0.25">
      <c r="A51" s="4">
        <v>41</v>
      </c>
      <c r="B51" s="240" t="str">
        <f>'[1]РАСЧЁТЫ по действующей сист16'!B119</f>
        <v>Уралтаев С.</v>
      </c>
      <c r="C51" s="243" t="s">
        <v>119</v>
      </c>
      <c r="D51" s="4" t="s">
        <v>118</v>
      </c>
      <c r="E51" s="4" t="s">
        <v>41</v>
      </c>
      <c r="F51" s="4"/>
      <c r="G51" s="4"/>
      <c r="H51" s="4">
        <v>1</v>
      </c>
      <c r="I51" s="12"/>
      <c r="J51" s="12"/>
      <c r="K51" s="4">
        <v>1</v>
      </c>
      <c r="L51" s="68">
        <v>17697</v>
      </c>
      <c r="M51" s="48">
        <v>1</v>
      </c>
      <c r="N51" s="48"/>
      <c r="O51" s="4">
        <v>1.6</v>
      </c>
      <c r="P51" s="68">
        <f t="shared" si="20"/>
        <v>28315.200000000001</v>
      </c>
      <c r="Q51" s="49">
        <f t="shared" si="26"/>
        <v>0</v>
      </c>
      <c r="R51" s="50">
        <f t="shared" si="27"/>
        <v>0</v>
      </c>
      <c r="S51" s="51">
        <f t="shared" si="25"/>
        <v>0.1</v>
      </c>
      <c r="T51" s="50">
        <f t="shared" si="4"/>
        <v>2831.5200000000004</v>
      </c>
      <c r="U51" s="55"/>
      <c r="V51" s="53">
        <v>8632.68</v>
      </c>
      <c r="W51" s="53">
        <f t="shared" si="5"/>
        <v>39779.4</v>
      </c>
      <c r="X51" s="222"/>
      <c r="Z51" s="7" t="str">
        <f t="shared" si="22"/>
        <v>Уралтаев С.</v>
      </c>
      <c r="AA51" s="8">
        <f t="shared" si="23"/>
        <v>1</v>
      </c>
      <c r="AB51" s="8">
        <f t="shared" si="24"/>
        <v>39779.4</v>
      </c>
      <c r="AD51" s="7"/>
      <c r="AE51" s="16"/>
      <c r="AF51" s="8"/>
    </row>
    <row r="52" spans="1:32" s="6" customFormat="1" ht="15.75" thickBot="1" x14ac:dyDescent="0.3">
      <c r="A52" s="4">
        <v>42</v>
      </c>
      <c r="B52" s="240" t="str">
        <f>'[1]РАСЧЁТЫ по действующей сист16'!B120</f>
        <v>Сипатов А.М.</v>
      </c>
      <c r="C52" s="58" t="s">
        <v>120</v>
      </c>
      <c r="D52" s="4" t="s">
        <v>118</v>
      </c>
      <c r="E52" s="4" t="s">
        <v>41</v>
      </c>
      <c r="F52" s="59"/>
      <c r="G52" s="59"/>
      <c r="H52" s="59">
        <v>1</v>
      </c>
      <c r="I52" s="32"/>
      <c r="J52" s="32"/>
      <c r="K52" s="59">
        <v>2</v>
      </c>
      <c r="L52" s="68">
        <v>17697</v>
      </c>
      <c r="M52" s="60">
        <v>1</v>
      </c>
      <c r="N52" s="60"/>
      <c r="O52" s="4">
        <v>1.71</v>
      </c>
      <c r="P52" s="68">
        <f t="shared" si="20"/>
        <v>30261.87</v>
      </c>
      <c r="Q52" s="49">
        <f t="shared" si="26"/>
        <v>0</v>
      </c>
      <c r="R52" s="50">
        <f t="shared" si="27"/>
        <v>0</v>
      </c>
      <c r="S52" s="51">
        <f t="shared" si="25"/>
        <v>0.1</v>
      </c>
      <c r="T52" s="50">
        <f t="shared" si="4"/>
        <v>3026.1869999999999</v>
      </c>
      <c r="U52" s="61"/>
      <c r="V52" s="62"/>
      <c r="W52" s="53">
        <f t="shared" si="5"/>
        <v>33288.057000000001</v>
      </c>
      <c r="X52" s="222"/>
      <c r="Z52" s="7" t="str">
        <f t="shared" si="22"/>
        <v>Сипатов А.М.</v>
      </c>
      <c r="AA52" s="8">
        <f t="shared" si="23"/>
        <v>1</v>
      </c>
      <c r="AB52" s="8">
        <f t="shared" si="24"/>
        <v>33288.057000000001</v>
      </c>
      <c r="AC52" s="9"/>
      <c r="AD52" s="7"/>
      <c r="AE52" s="16"/>
      <c r="AF52" s="8"/>
    </row>
    <row r="53" spans="1:32" s="6" customFormat="1" ht="13.5" thickBot="1" x14ac:dyDescent="0.3">
      <c r="A53" s="530" t="s">
        <v>121</v>
      </c>
      <c r="B53" s="531"/>
      <c r="C53" s="531"/>
      <c r="D53" s="531"/>
      <c r="E53" s="263"/>
      <c r="F53" s="263"/>
      <c r="G53" s="263"/>
      <c r="H53" s="263"/>
      <c r="I53" s="263"/>
      <c r="J53" s="263"/>
      <c r="K53" s="263"/>
      <c r="L53" s="263"/>
      <c r="M53" s="264">
        <f>SUM(M38:M52)</f>
        <v>12</v>
      </c>
      <c r="N53" s="264"/>
      <c r="O53" s="264"/>
      <c r="P53" s="264">
        <f>P38+P39+P40+P41+P42+P43+P44+P45+P46+P47+P48+P49+P50+P51+P52</f>
        <v>363673.34500000003</v>
      </c>
      <c r="Q53" s="264"/>
      <c r="R53" s="264"/>
      <c r="S53" s="264"/>
      <c r="T53" s="264">
        <f t="shared" si="4"/>
        <v>36367.334500000004</v>
      </c>
      <c r="U53" s="264"/>
      <c r="V53" s="265">
        <f>SUM(V38:V52)</f>
        <v>47134.439999999995</v>
      </c>
      <c r="W53" s="265">
        <f>SUM(W38:W52)</f>
        <v>447175.11950000015</v>
      </c>
      <c r="Z53" s="7" t="s">
        <v>122</v>
      </c>
      <c r="AA53" s="8">
        <f>SUM(AA38:AA52)</f>
        <v>11.5</v>
      </c>
      <c r="AB53" s="8">
        <f>SUM(AB38:AB52)</f>
        <v>428097.75350000011</v>
      </c>
      <c r="AC53" s="13"/>
      <c r="AD53" s="7" t="s">
        <v>123</v>
      </c>
      <c r="AE53" s="8">
        <f>SUM(AE38:AE52)</f>
        <v>0</v>
      </c>
      <c r="AF53" s="8">
        <f>SUM(AF38:AF52)</f>
        <v>0</v>
      </c>
    </row>
    <row r="54" spans="1:32" s="6" customFormat="1" ht="13.5" thickBot="1" x14ac:dyDescent="0.3">
      <c r="A54" s="532" t="s">
        <v>124</v>
      </c>
      <c r="B54" s="533"/>
      <c r="C54" s="533"/>
      <c r="D54" s="533"/>
      <c r="E54" s="266"/>
      <c r="F54" s="266"/>
      <c r="G54" s="266"/>
      <c r="H54" s="266"/>
      <c r="I54" s="266"/>
      <c r="J54" s="266"/>
      <c r="K54" s="266"/>
      <c r="L54" s="266"/>
      <c r="M54" s="267">
        <f>M12+M37+M53</f>
        <v>39.5</v>
      </c>
      <c r="N54" s="267"/>
      <c r="O54" s="267"/>
      <c r="P54" s="267">
        <f>P53+P37+P12</f>
        <v>1782973.1449999998</v>
      </c>
      <c r="Q54" s="267">
        <f t="shared" ref="Q54:W54" si="41">Q53+Q37+Q12</f>
        <v>0</v>
      </c>
      <c r="R54" s="267">
        <f t="shared" si="41"/>
        <v>0</v>
      </c>
      <c r="S54" s="267">
        <f t="shared" si="41"/>
        <v>0</v>
      </c>
      <c r="T54" s="267">
        <f t="shared" si="41"/>
        <v>178297.31450000004</v>
      </c>
      <c r="U54" s="267">
        <f t="shared" si="41"/>
        <v>0</v>
      </c>
      <c r="V54" s="267">
        <f t="shared" si="41"/>
        <v>250207.51500000001</v>
      </c>
      <c r="W54" s="267">
        <f t="shared" si="41"/>
        <v>2211477.9745</v>
      </c>
      <c r="Z54" s="269" t="s">
        <v>125</v>
      </c>
      <c r="AA54" s="53">
        <f>AA12+AA37+AA53</f>
        <v>23.5</v>
      </c>
      <c r="AB54" s="53">
        <f>AB12+AB37+AB53</f>
        <v>986685.85050000018</v>
      </c>
      <c r="AC54" s="262"/>
      <c r="AD54" s="269" t="s">
        <v>126</v>
      </c>
      <c r="AE54" s="53">
        <f>AE12+AE37+AE53</f>
        <v>15.5</v>
      </c>
      <c r="AF54" s="53">
        <f>AF12+AF37+AF53</f>
        <v>1141872.8250000002</v>
      </c>
    </row>
    <row r="55" spans="1:32" s="6" customFormat="1" x14ac:dyDescent="0.25">
      <c r="A55" s="270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</row>
    <row r="56" spans="1:32" s="6" customFormat="1" ht="15" x14ac:dyDescent="0.25">
      <c r="B56" s="6" t="s">
        <v>27</v>
      </c>
      <c r="C56" s="534"/>
      <c r="D56" s="534"/>
      <c r="E56" s="271"/>
      <c r="F56" s="270"/>
      <c r="G56" s="270"/>
      <c r="H56" s="270"/>
      <c r="K56" s="534" t="s">
        <v>127</v>
      </c>
      <c r="L56" s="534"/>
      <c r="M56" s="535"/>
      <c r="N56" s="272"/>
      <c r="O56" s="273"/>
      <c r="P56" s="9"/>
      <c r="Q56" s="9"/>
      <c r="R56" s="9"/>
      <c r="S56" s="9"/>
      <c r="T56" s="13"/>
      <c r="V56" s="11"/>
      <c r="W56" s="13"/>
    </row>
    <row r="57" spans="1:32" ht="15" x14ac:dyDescent="0.25">
      <c r="C57" s="478" t="s">
        <v>128</v>
      </c>
      <c r="D57" s="478"/>
      <c r="E57" s="478"/>
      <c r="F57" s="230"/>
      <c r="G57" s="230"/>
      <c r="H57" s="230"/>
      <c r="I57" s="232"/>
      <c r="J57" s="232"/>
      <c r="K57" s="479" t="s">
        <v>129</v>
      </c>
      <c r="L57" s="479"/>
      <c r="M57" s="480"/>
      <c r="O57" s="2"/>
      <c r="P57" s="2"/>
      <c r="Q57" s="2"/>
      <c r="R57" s="2"/>
      <c r="S57" s="2"/>
      <c r="T57" s="2"/>
      <c r="U57" s="2"/>
      <c r="V57" s="26"/>
      <c r="W57" s="3"/>
      <c r="Z57" s="22"/>
      <c r="AA57" s="22"/>
      <c r="AB57" s="22"/>
      <c r="AC57" s="22"/>
      <c r="AD57" s="489" t="s">
        <v>130</v>
      </c>
      <c r="AE57" s="18" t="s">
        <v>131</v>
      </c>
      <c r="AF57" s="18" t="s">
        <v>4</v>
      </c>
    </row>
    <row r="58" spans="1:32" x14ac:dyDescent="0.25">
      <c r="E58" s="232"/>
      <c r="F58" s="232"/>
      <c r="G58" s="232"/>
      <c r="H58" s="232"/>
      <c r="I58" s="232"/>
      <c r="J58" s="232"/>
      <c r="K58" s="230"/>
      <c r="L58" s="230"/>
      <c r="O58" s="2"/>
      <c r="P58" s="2"/>
      <c r="Q58" s="2"/>
      <c r="R58" s="2"/>
      <c r="S58" s="2"/>
      <c r="T58" s="3"/>
      <c r="U58" s="3"/>
      <c r="W58" s="3"/>
      <c r="X58" s="1"/>
      <c r="Z58" s="233"/>
      <c r="AB58" s="3"/>
      <c r="AD58" s="489"/>
      <c r="AE58" s="21">
        <f>AA54+AE54</f>
        <v>39</v>
      </c>
      <c r="AF58" s="21">
        <f>AB54+AF54</f>
        <v>2128558.6755000004</v>
      </c>
    </row>
    <row r="59" spans="1:32" ht="15" x14ac:dyDescent="0.25">
      <c r="B59" s="233" t="s">
        <v>40</v>
      </c>
      <c r="C59" s="487"/>
      <c r="D59" s="487"/>
      <c r="E59" s="231"/>
      <c r="F59" s="230"/>
      <c r="G59" s="230"/>
      <c r="H59" s="230"/>
      <c r="K59" s="487" t="s">
        <v>263</v>
      </c>
      <c r="L59" s="487"/>
      <c r="M59" s="488"/>
      <c r="W59" s="1"/>
      <c r="X59" s="1"/>
      <c r="Z59" s="1"/>
      <c r="AA59" s="233"/>
      <c r="AB59" s="1"/>
      <c r="AC59" s="1"/>
      <c r="AD59" s="1"/>
      <c r="AE59" s="26"/>
      <c r="AF59" s="26"/>
    </row>
    <row r="60" spans="1:32" ht="15" x14ac:dyDescent="0.25">
      <c r="C60" s="478" t="s">
        <v>128</v>
      </c>
      <c r="D60" s="478"/>
      <c r="E60" s="478"/>
      <c r="F60" s="230"/>
      <c r="G60" s="230"/>
      <c r="H60" s="230"/>
      <c r="K60" s="479" t="s">
        <v>129</v>
      </c>
      <c r="L60" s="479"/>
      <c r="M60" s="480"/>
      <c r="T60" s="26"/>
      <c r="Z60" s="1"/>
      <c r="AA60" s="1"/>
      <c r="AB60" s="1"/>
      <c r="AC60" s="1"/>
      <c r="AD60" s="20" t="s">
        <v>132</v>
      </c>
      <c r="AE60" s="21">
        <f>M54</f>
        <v>39.5</v>
      </c>
      <c r="AF60" s="21">
        <f>W54</f>
        <v>2211477.9745</v>
      </c>
    </row>
    <row r="61" spans="1:32" x14ac:dyDescent="0.25">
      <c r="B61" s="27"/>
      <c r="Z61" s="3"/>
      <c r="AA61" s="3"/>
      <c r="AB61" s="3"/>
      <c r="AC61" s="3"/>
      <c r="AD61" s="3"/>
      <c r="AE61" s="25"/>
      <c r="AF61" s="25"/>
    </row>
    <row r="62" spans="1:32" x14ac:dyDescent="0.25">
      <c r="B62" s="28" t="s">
        <v>133</v>
      </c>
      <c r="W62" s="1"/>
      <c r="Z62" s="25"/>
      <c r="AE62" s="3"/>
    </row>
  </sheetData>
  <mergeCells count="48">
    <mergeCell ref="AE7:AE8"/>
    <mergeCell ref="C57:E57"/>
    <mergeCell ref="K57:M57"/>
    <mergeCell ref="AD57:AD58"/>
    <mergeCell ref="C59:D59"/>
    <mergeCell ref="K59:M59"/>
    <mergeCell ref="M7:M8"/>
    <mergeCell ref="U7:V7"/>
    <mergeCell ref="Q7:R7"/>
    <mergeCell ref="S7:T7"/>
    <mergeCell ref="N7:N8"/>
    <mergeCell ref="C60:E60"/>
    <mergeCell ref="K60:M60"/>
    <mergeCell ref="AF7:AF8"/>
    <mergeCell ref="A12:D12"/>
    <mergeCell ref="A37:D37"/>
    <mergeCell ref="A53:D53"/>
    <mergeCell ref="A54:D54"/>
    <mergeCell ref="C56:D56"/>
    <mergeCell ref="K56:M56"/>
    <mergeCell ref="W7:W8"/>
    <mergeCell ref="Z7:Z8"/>
    <mergeCell ref="AA7:AA8"/>
    <mergeCell ref="AB7:AB8"/>
    <mergeCell ref="AD7:AD8"/>
    <mergeCell ref="O7:O8"/>
    <mergeCell ref="P7:P8"/>
    <mergeCell ref="AD5:AD6"/>
    <mergeCell ref="AE5:AE6"/>
    <mergeCell ref="AF5:AF6"/>
    <mergeCell ref="A7:A8"/>
    <mergeCell ref="B7:B8"/>
    <mergeCell ref="C7:C8"/>
    <mergeCell ref="D7:D8"/>
    <mergeCell ref="E7:E8"/>
    <mergeCell ref="F7:F8"/>
    <mergeCell ref="G7:G8"/>
    <mergeCell ref="AB5:AB6"/>
    <mergeCell ref="H7:H8"/>
    <mergeCell ref="I7:I8"/>
    <mergeCell ref="J7:J8"/>
    <mergeCell ref="K7:K8"/>
    <mergeCell ref="L7:L8"/>
    <mergeCell ref="A2:W2"/>
    <mergeCell ref="A3:W3"/>
    <mergeCell ref="S5:T5"/>
    <mergeCell ref="Z5:Z6"/>
    <mergeCell ref="AA5:AA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72"/>
  <sheetViews>
    <sheetView topLeftCell="A32" zoomScaleNormal="100" workbookViewId="0">
      <selection activeCell="P48" sqref="P48"/>
    </sheetView>
  </sheetViews>
  <sheetFormatPr defaultRowHeight="15.75" x14ac:dyDescent="0.25"/>
  <cols>
    <col min="1" max="1" width="5.85546875" style="101" customWidth="1"/>
    <col min="2" max="2" width="23.85546875" style="105" customWidth="1"/>
    <col min="3" max="4" width="7.28515625" style="105" customWidth="1"/>
    <col min="5" max="5" width="7.5703125" style="101" customWidth="1"/>
    <col min="6" max="6" width="9.7109375" style="185" customWidth="1"/>
    <col min="7" max="7" width="7.5703125" style="185" customWidth="1"/>
    <col min="8" max="8" width="12.28515625" style="185" customWidth="1"/>
    <col min="9" max="9" width="17.28515625" style="185" customWidth="1"/>
    <col min="10" max="10" width="6.28515625" style="185" hidden="1" customWidth="1"/>
    <col min="11" max="11" width="11" style="185" customWidth="1"/>
    <col min="12" max="12" width="6.85546875" style="185" customWidth="1"/>
    <col min="13" max="13" width="17" style="185" customWidth="1"/>
    <col min="14" max="14" width="5.7109375" style="185" customWidth="1"/>
    <col min="15" max="15" width="15" style="185" customWidth="1"/>
    <col min="16" max="16" width="18.140625" style="186" customWidth="1"/>
    <col min="17" max="17" width="19.85546875" style="101" customWidth="1"/>
    <col min="18" max="18" width="13.42578125" style="101" customWidth="1"/>
    <col min="19" max="19" width="15" style="101" hidden="1" customWidth="1"/>
    <col min="20" max="20" width="25.28515625" style="101" hidden="1" customWidth="1"/>
    <col min="21" max="21" width="25.7109375" style="101" hidden="1" customWidth="1"/>
    <col min="22" max="22" width="9.140625" style="101"/>
    <col min="23" max="23" width="17.85546875" style="101" bestFit="1" customWidth="1"/>
    <col min="24" max="16384" width="9.140625" style="101"/>
  </cols>
  <sheetData>
    <row r="1" spans="1:29" ht="14.25" customHeight="1" x14ac:dyDescent="0.25">
      <c r="B1" s="102"/>
      <c r="C1" s="102"/>
      <c r="D1" s="102"/>
      <c r="E1" s="103"/>
      <c r="F1" s="104"/>
      <c r="G1" s="497" t="s">
        <v>323</v>
      </c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29" ht="25.5" customHeight="1" x14ac:dyDescent="0.25">
      <c r="B2" s="498"/>
      <c r="C2" s="498"/>
      <c r="D2" s="498"/>
      <c r="E2" s="498"/>
      <c r="F2" s="104"/>
      <c r="G2" s="499" t="s">
        <v>324</v>
      </c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29" ht="12" customHeight="1" x14ac:dyDescent="0.25">
      <c r="E3" s="103"/>
      <c r="F3" s="104"/>
      <c r="G3" s="499" t="s">
        <v>325</v>
      </c>
      <c r="H3" s="499"/>
      <c r="I3" s="499"/>
      <c r="J3" s="499"/>
      <c r="K3" s="499"/>
      <c r="L3" s="499"/>
      <c r="M3" s="499"/>
      <c r="N3" s="499"/>
      <c r="O3" s="106"/>
      <c r="P3" s="107"/>
      <c r="Q3" s="106"/>
    </row>
    <row r="4" spans="1:29" ht="13.5" customHeight="1" x14ac:dyDescent="0.25">
      <c r="E4" s="103"/>
      <c r="F4" s="104"/>
      <c r="G4" s="104"/>
      <c r="H4" s="104"/>
      <c r="I4" s="495" t="s">
        <v>322</v>
      </c>
      <c r="J4" s="495"/>
      <c r="K4" s="495"/>
      <c r="L4" s="495"/>
      <c r="M4" s="495"/>
      <c r="N4" s="500"/>
      <c r="O4" s="500"/>
      <c r="P4" s="500"/>
      <c r="Q4" s="500"/>
    </row>
    <row r="5" spans="1:29" ht="13.5" customHeight="1" x14ac:dyDescent="0.25">
      <c r="E5" s="103"/>
      <c r="F5" s="104"/>
      <c r="G5" s="495" t="s">
        <v>343</v>
      </c>
      <c r="H5" s="495"/>
      <c r="I5" s="495"/>
      <c r="J5" s="495"/>
      <c r="K5" s="495"/>
      <c r="L5" s="495"/>
      <c r="M5" s="495"/>
      <c r="N5" s="496"/>
      <c r="O5" s="496"/>
      <c r="P5" s="496"/>
      <c r="Q5" s="496"/>
    </row>
    <row r="6" spans="1:29" ht="22.5" customHeight="1" x14ac:dyDescent="0.25">
      <c r="E6" s="103"/>
      <c r="F6" s="501" t="s">
        <v>344</v>
      </c>
      <c r="G6" s="501"/>
      <c r="H6" s="501"/>
      <c r="I6" s="501"/>
      <c r="J6" s="501"/>
      <c r="K6" s="501"/>
      <c r="L6" s="501"/>
      <c r="M6" s="501"/>
      <c r="N6" s="500"/>
      <c r="O6" s="500"/>
      <c r="P6" s="500"/>
      <c r="Q6" s="500"/>
    </row>
    <row r="7" spans="1:29" ht="11.25" customHeight="1" x14ac:dyDescent="0.25">
      <c r="B7" s="339"/>
      <c r="C7" s="339"/>
      <c r="D7" s="339"/>
      <c r="E7" s="339"/>
      <c r="F7" s="339"/>
      <c r="G7" s="502" t="s">
        <v>139</v>
      </c>
      <c r="H7" s="502"/>
      <c r="I7" s="502"/>
      <c r="J7" s="502"/>
      <c r="K7" s="502"/>
      <c r="L7" s="502"/>
      <c r="M7" s="502"/>
      <c r="N7" s="500"/>
      <c r="O7" s="500"/>
      <c r="P7" s="500"/>
      <c r="Q7" s="500"/>
    </row>
    <row r="8" spans="1:29" ht="14.25" customHeight="1" x14ac:dyDescent="0.25">
      <c r="B8" s="339"/>
      <c r="C8" s="339"/>
      <c r="D8" s="339"/>
      <c r="E8" s="339"/>
      <c r="F8" s="339"/>
      <c r="G8" s="341"/>
      <c r="H8" s="341"/>
      <c r="I8" s="341"/>
      <c r="J8" s="341"/>
      <c r="K8" s="341"/>
      <c r="L8" s="341"/>
      <c r="M8" s="341"/>
      <c r="N8" s="101"/>
      <c r="O8" s="101"/>
      <c r="P8" s="109"/>
    </row>
    <row r="9" spans="1:29" ht="12.75" hidden="1" customHeight="1" x14ac:dyDescent="0.25"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</row>
    <row r="10" spans="1:29" ht="15" customHeight="1" x14ac:dyDescent="0.25">
      <c r="A10" s="497" t="s">
        <v>140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T10" s="110"/>
    </row>
    <row r="11" spans="1:29" ht="12.75" customHeight="1" x14ac:dyDescent="0.25">
      <c r="A11" s="503" t="s">
        <v>341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</row>
    <row r="12" spans="1:29" x14ac:dyDescent="0.25">
      <c r="A12" s="499" t="s">
        <v>142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T12" s="104"/>
      <c r="U12" s="104"/>
      <c r="V12" s="104"/>
      <c r="W12" s="497"/>
      <c r="X12" s="497"/>
      <c r="Y12" s="497"/>
      <c r="Z12" s="497"/>
      <c r="AA12" s="497"/>
      <c r="AB12" s="497"/>
      <c r="AC12" s="497"/>
    </row>
    <row r="13" spans="1:29" ht="16.5" thickBot="1" x14ac:dyDescent="0.3"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112"/>
      <c r="T13" s="104"/>
      <c r="U13" s="499"/>
      <c r="V13" s="499"/>
      <c r="W13" s="505"/>
      <c r="X13" s="505"/>
      <c r="Y13" s="505"/>
      <c r="Z13" s="505"/>
      <c r="AA13" s="505"/>
      <c r="AB13" s="505"/>
      <c r="AC13" s="505"/>
    </row>
    <row r="14" spans="1:29" s="113" customFormat="1" ht="69.75" customHeight="1" thickBot="1" x14ac:dyDescent="0.3">
      <c r="A14" s="509" t="s">
        <v>143</v>
      </c>
      <c r="B14" s="509" t="s">
        <v>144</v>
      </c>
      <c r="C14" s="509" t="s">
        <v>13</v>
      </c>
      <c r="D14" s="509" t="s">
        <v>14</v>
      </c>
      <c r="E14" s="509" t="s">
        <v>15</v>
      </c>
      <c r="F14" s="509" t="s">
        <v>145</v>
      </c>
      <c r="G14" s="509" t="s">
        <v>146</v>
      </c>
      <c r="H14" s="509" t="s">
        <v>147</v>
      </c>
      <c r="I14" s="509" t="s">
        <v>148</v>
      </c>
      <c r="J14" s="511" t="s">
        <v>20</v>
      </c>
      <c r="K14" s="512"/>
      <c r="L14" s="511" t="s">
        <v>21</v>
      </c>
      <c r="M14" s="512"/>
      <c r="N14" s="511" t="s">
        <v>149</v>
      </c>
      <c r="O14" s="512"/>
      <c r="P14" s="513" t="s">
        <v>150</v>
      </c>
      <c r="Q14" s="506" t="s">
        <v>151</v>
      </c>
      <c r="T14" s="104"/>
      <c r="U14" s="104"/>
      <c r="V14" s="104"/>
      <c r="W14" s="495"/>
      <c r="X14" s="495"/>
      <c r="Y14" s="495"/>
      <c r="Z14" s="495"/>
      <c r="AA14" s="495"/>
      <c r="AB14" s="495"/>
      <c r="AC14" s="495"/>
    </row>
    <row r="15" spans="1:29" s="113" customFormat="1" ht="29.25" customHeight="1" thickBot="1" x14ac:dyDescent="0.3">
      <c r="A15" s="510"/>
      <c r="B15" s="510"/>
      <c r="C15" s="510"/>
      <c r="D15" s="510"/>
      <c r="E15" s="510"/>
      <c r="F15" s="510"/>
      <c r="G15" s="510"/>
      <c r="H15" s="510"/>
      <c r="I15" s="510"/>
      <c r="J15" s="342" t="s">
        <v>24</v>
      </c>
      <c r="K15" s="342" t="s">
        <v>25</v>
      </c>
      <c r="L15" s="342" t="s">
        <v>24</v>
      </c>
      <c r="M15" s="342" t="s">
        <v>25</v>
      </c>
      <c r="N15" s="342" t="s">
        <v>24</v>
      </c>
      <c r="O15" s="342" t="s">
        <v>152</v>
      </c>
      <c r="P15" s="514"/>
      <c r="Q15" s="507"/>
      <c r="T15" s="104"/>
      <c r="U15" s="508"/>
      <c r="V15" s="508"/>
      <c r="W15" s="508"/>
      <c r="X15" s="508"/>
      <c r="Y15" s="508"/>
      <c r="Z15" s="508"/>
      <c r="AA15" s="508"/>
      <c r="AB15" s="508"/>
      <c r="AC15" s="508"/>
    </row>
    <row r="16" spans="1:29" ht="39.75" customHeight="1" x14ac:dyDescent="0.25">
      <c r="A16" s="114"/>
      <c r="B16" s="115" t="s">
        <v>153</v>
      </c>
      <c r="C16" s="115"/>
      <c r="D16" s="115"/>
      <c r="E16" s="116"/>
      <c r="F16" s="117"/>
      <c r="G16" s="117"/>
      <c r="H16" s="117"/>
      <c r="I16" s="118"/>
      <c r="J16" s="118"/>
      <c r="K16" s="118"/>
      <c r="L16" s="118"/>
      <c r="M16" s="118"/>
      <c r="N16" s="118"/>
      <c r="O16" s="118"/>
      <c r="P16" s="119"/>
      <c r="Q16" s="120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</row>
    <row r="17" spans="1:29" ht="12.75" customHeight="1" x14ac:dyDescent="0.25">
      <c r="A17" s="170">
        <v>1</v>
      </c>
      <c r="B17" s="121" t="s">
        <v>27</v>
      </c>
      <c r="C17" s="122" t="s">
        <v>30</v>
      </c>
      <c r="D17" s="122" t="s">
        <v>31</v>
      </c>
      <c r="E17" s="123">
        <v>3</v>
      </c>
      <c r="F17" s="124">
        <v>1</v>
      </c>
      <c r="G17" s="123">
        <v>5.2</v>
      </c>
      <c r="H17" s="125">
        <v>17697</v>
      </c>
      <c r="I17" s="125">
        <f t="shared" ref="I17:I22" si="0">G17*H17</f>
        <v>92024.400000000009</v>
      </c>
      <c r="J17" s="126">
        <v>0</v>
      </c>
      <c r="K17" s="124">
        <f>ROUND(I17*J17,2)+(M17*J17)</f>
        <v>0</v>
      </c>
      <c r="L17" s="126">
        <v>0.1</v>
      </c>
      <c r="M17" s="125">
        <f>ROUND(I17*L17*F17,2)</f>
        <v>9202.44</v>
      </c>
      <c r="N17" s="126">
        <v>0.3</v>
      </c>
      <c r="O17" s="124">
        <f t="shared" ref="O17:O22" si="1">ROUND(H17*N17,2)</f>
        <v>5309.1</v>
      </c>
      <c r="P17" s="127">
        <f t="shared" ref="P17:P21" si="2">ROUND((I17*F17)+M17+K17+O17,2)</f>
        <v>106535.94</v>
      </c>
      <c r="Q17" s="128">
        <f t="shared" ref="Q17:Q22" si="3">P17*12</f>
        <v>1278431.28</v>
      </c>
      <c r="S17" s="129"/>
      <c r="T17" s="339"/>
      <c r="U17" s="502"/>
      <c r="V17" s="502"/>
      <c r="W17" s="502"/>
      <c r="X17" s="502"/>
      <c r="Y17" s="502"/>
      <c r="Z17" s="502"/>
      <c r="AA17" s="502"/>
      <c r="AB17" s="502"/>
      <c r="AC17" s="502"/>
    </row>
    <row r="18" spans="1:29" ht="12.75" hidden="1" customHeight="1" x14ac:dyDescent="0.25">
      <c r="A18" s="170"/>
      <c r="B18" s="121" t="s">
        <v>32</v>
      </c>
      <c r="C18" s="122" t="s">
        <v>30</v>
      </c>
      <c r="D18" s="122" t="s">
        <v>31</v>
      </c>
      <c r="E18" s="123">
        <v>3</v>
      </c>
      <c r="F18" s="124"/>
      <c r="G18" s="124"/>
      <c r="H18" s="125">
        <v>17697</v>
      </c>
      <c r="I18" s="125">
        <f t="shared" si="0"/>
        <v>0</v>
      </c>
      <c r="J18" s="126">
        <v>0</v>
      </c>
      <c r="K18" s="124">
        <f>ROUND(I18*J18,2)+(M18*J18)</f>
        <v>0</v>
      </c>
      <c r="L18" s="126">
        <v>0.1</v>
      </c>
      <c r="M18" s="125">
        <f>ROUND(I18*L18*F18,2)</f>
        <v>0</v>
      </c>
      <c r="N18" s="126"/>
      <c r="O18" s="124">
        <f t="shared" si="1"/>
        <v>0</v>
      </c>
      <c r="P18" s="127">
        <f t="shared" si="2"/>
        <v>0</v>
      </c>
      <c r="Q18" s="128">
        <f t="shared" si="3"/>
        <v>0</v>
      </c>
      <c r="R18" s="130"/>
      <c r="S18" s="129"/>
      <c r="T18" s="339"/>
      <c r="U18" s="341"/>
      <c r="V18" s="341"/>
      <c r="W18" s="341"/>
      <c r="X18" s="341"/>
      <c r="Y18" s="341"/>
      <c r="Z18" s="341"/>
      <c r="AA18" s="341"/>
      <c r="AB18" s="341"/>
      <c r="AC18" s="341"/>
    </row>
    <row r="19" spans="1:29" ht="12.75" hidden="1" customHeight="1" x14ac:dyDescent="0.25">
      <c r="A19" s="170"/>
      <c r="B19" s="121" t="s">
        <v>33</v>
      </c>
      <c r="C19" s="131"/>
      <c r="D19" s="131"/>
      <c r="E19" s="123">
        <v>3</v>
      </c>
      <c r="F19" s="124"/>
      <c r="G19" s="124"/>
      <c r="H19" s="125">
        <v>17697</v>
      </c>
      <c r="I19" s="125">
        <f t="shared" si="0"/>
        <v>0</v>
      </c>
      <c r="J19" s="126">
        <v>0</v>
      </c>
      <c r="K19" s="124">
        <f>ROUND(I19*J19,2)+(M19*J19)</f>
        <v>0</v>
      </c>
      <c r="L19" s="126">
        <v>0.1</v>
      </c>
      <c r="M19" s="125">
        <f>ROUND(I19*L19*1.5,2)</f>
        <v>0</v>
      </c>
      <c r="N19" s="126"/>
      <c r="O19" s="124">
        <f t="shared" si="1"/>
        <v>0</v>
      </c>
      <c r="P19" s="127">
        <f t="shared" si="2"/>
        <v>0</v>
      </c>
      <c r="Q19" s="128">
        <f t="shared" si="3"/>
        <v>0</v>
      </c>
      <c r="R19" s="130"/>
      <c r="S19" s="129"/>
      <c r="T19" s="132"/>
      <c r="U19" s="129"/>
    </row>
    <row r="20" spans="1:29" ht="32.25" customHeight="1" x14ac:dyDescent="0.25">
      <c r="A20" s="170">
        <v>2</v>
      </c>
      <c r="B20" s="121" t="s">
        <v>34</v>
      </c>
      <c r="C20" s="131"/>
      <c r="D20" s="133" t="s">
        <v>37</v>
      </c>
      <c r="E20" s="134">
        <v>3</v>
      </c>
      <c r="F20" s="124">
        <v>1</v>
      </c>
      <c r="G20" s="123">
        <v>2.58</v>
      </c>
      <c r="H20" s="125">
        <v>17697</v>
      </c>
      <c r="I20" s="125">
        <f t="shared" si="0"/>
        <v>45658.26</v>
      </c>
      <c r="J20" s="126">
        <v>0</v>
      </c>
      <c r="K20" s="124">
        <f>ROUND(I20*J20,2)</f>
        <v>0</v>
      </c>
      <c r="L20" s="126">
        <v>0.1</v>
      </c>
      <c r="M20" s="125">
        <f>ROUND(I20*L20*F20,2)</f>
        <v>4565.83</v>
      </c>
      <c r="N20" s="126"/>
      <c r="O20" s="124">
        <f t="shared" si="1"/>
        <v>0</v>
      </c>
      <c r="P20" s="127">
        <f t="shared" si="2"/>
        <v>50224.09</v>
      </c>
      <c r="Q20" s="128">
        <f t="shared" si="3"/>
        <v>602689.07999999996</v>
      </c>
      <c r="S20" s="129"/>
      <c r="T20" s="132"/>
      <c r="U20" s="129"/>
    </row>
    <row r="21" spans="1:29" ht="4.5" hidden="1" customHeight="1" x14ac:dyDescent="0.25">
      <c r="A21" s="170"/>
      <c r="B21" s="135" t="s">
        <v>38</v>
      </c>
      <c r="C21" s="131"/>
      <c r="D21" s="136"/>
      <c r="E21" s="134"/>
      <c r="F21" s="124"/>
      <c r="G21" s="123"/>
      <c r="H21" s="125">
        <v>17697</v>
      </c>
      <c r="I21" s="125">
        <f t="shared" si="0"/>
        <v>0</v>
      </c>
      <c r="J21" s="126">
        <v>0</v>
      </c>
      <c r="K21" s="124">
        <f>ROUND(I21*J21,2)</f>
        <v>0</v>
      </c>
      <c r="L21" s="126">
        <v>0.1</v>
      </c>
      <c r="M21" s="125">
        <f>ROUND(I21*L21*F21,2)</f>
        <v>0</v>
      </c>
      <c r="N21" s="126"/>
      <c r="O21" s="124">
        <f t="shared" si="1"/>
        <v>0</v>
      </c>
      <c r="P21" s="127">
        <f t="shared" si="2"/>
        <v>0</v>
      </c>
      <c r="Q21" s="128">
        <f t="shared" si="3"/>
        <v>0</v>
      </c>
      <c r="S21" s="129"/>
      <c r="T21" s="132"/>
      <c r="U21" s="129"/>
    </row>
    <row r="22" spans="1:29" ht="15.75" customHeight="1" thickBot="1" x14ac:dyDescent="0.3">
      <c r="A22" s="170">
        <v>3</v>
      </c>
      <c r="B22" s="131" t="s">
        <v>40</v>
      </c>
      <c r="C22" s="131"/>
      <c r="D22" s="137" t="s">
        <v>37</v>
      </c>
      <c r="E22" s="138">
        <v>2</v>
      </c>
      <c r="F22" s="124">
        <v>1</v>
      </c>
      <c r="G22" s="124">
        <v>3.69</v>
      </c>
      <c r="H22" s="125">
        <v>17697</v>
      </c>
      <c r="I22" s="125">
        <f t="shared" si="0"/>
        <v>65301.93</v>
      </c>
      <c r="J22" s="126">
        <v>0</v>
      </c>
      <c r="K22" s="124">
        <f>ROUND(I22*J22,2)</f>
        <v>0</v>
      </c>
      <c r="L22" s="126">
        <v>0.1</v>
      </c>
      <c r="M22" s="125">
        <f>ROUND(I22*L22*F22,2)</f>
        <v>6530.19</v>
      </c>
      <c r="N22" s="126"/>
      <c r="O22" s="124">
        <f t="shared" si="1"/>
        <v>0</v>
      </c>
      <c r="P22" s="127">
        <v>35916.06</v>
      </c>
      <c r="Q22" s="128">
        <f t="shared" si="3"/>
        <v>430992.72</v>
      </c>
      <c r="R22" s="130"/>
      <c r="S22" s="129"/>
      <c r="T22" s="132"/>
      <c r="U22" s="129"/>
    </row>
    <row r="23" spans="1:29" s="144" customFormat="1" ht="16.5" customHeight="1" thickBot="1" x14ac:dyDescent="0.3">
      <c r="A23" s="518" t="s">
        <v>42</v>
      </c>
      <c r="B23" s="519"/>
      <c r="C23" s="343"/>
      <c r="D23" s="343"/>
      <c r="E23" s="140"/>
      <c r="F23" s="141">
        <f>SUM(F17:F22)</f>
        <v>3</v>
      </c>
      <c r="G23" s="141"/>
      <c r="H23" s="141"/>
      <c r="I23" s="141">
        <f>SUM(I17:I22)</f>
        <v>202984.59</v>
      </c>
      <c r="J23" s="141"/>
      <c r="K23" s="141">
        <f>SUM(K17:K22)</f>
        <v>0</v>
      </c>
      <c r="L23" s="141"/>
      <c r="M23" s="141">
        <f>SUM(M17:M22)</f>
        <v>20298.46</v>
      </c>
      <c r="N23" s="142"/>
      <c r="O23" s="141">
        <f>SUM(O17:O22)</f>
        <v>5309.1</v>
      </c>
      <c r="P23" s="141">
        <f>ROUND(SUM(P17:P22),2)</f>
        <v>192676.09</v>
      </c>
      <c r="Q23" s="143">
        <f>SUM(Q17:Q22)</f>
        <v>2312113.08</v>
      </c>
      <c r="S23" s="145">
        <f>'[1]РАСЧЁТЫ по действующей системе'!W15</f>
        <v>129895.99</v>
      </c>
      <c r="T23" s="146">
        <f>P23-S23</f>
        <v>62780.099999999991</v>
      </c>
      <c r="U23" s="146" t="b">
        <f>IF(P23&lt;&gt;S23,FALSE,0)</f>
        <v>0</v>
      </c>
    </row>
    <row r="24" spans="1:29" ht="39.75" customHeight="1" x14ac:dyDescent="0.25">
      <c r="A24" s="114"/>
      <c r="B24" s="147" t="s">
        <v>155</v>
      </c>
      <c r="C24" s="148"/>
      <c r="D24" s="148"/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2"/>
      <c r="R24" s="130"/>
      <c r="S24" s="129"/>
      <c r="U24" s="129"/>
    </row>
    <row r="25" spans="1:29" ht="16.5" customHeight="1" x14ac:dyDescent="0.25">
      <c r="A25" s="170">
        <v>4</v>
      </c>
      <c r="B25" s="153" t="s">
        <v>46</v>
      </c>
      <c r="C25" s="154" t="s">
        <v>48</v>
      </c>
      <c r="D25" s="154" t="s">
        <v>53</v>
      </c>
      <c r="E25" s="155">
        <v>2</v>
      </c>
      <c r="F25" s="124">
        <v>0.75</v>
      </c>
      <c r="G25" s="124">
        <v>4.2300000000000004</v>
      </c>
      <c r="H25" s="125">
        <v>17697</v>
      </c>
      <c r="I25" s="127">
        <f t="shared" ref="I25:I45" si="4">G25*H25</f>
        <v>74858.310000000012</v>
      </c>
      <c r="J25" s="126">
        <v>0</v>
      </c>
      <c r="K25" s="124">
        <f t="shared" ref="K25:K47" si="5">ROUND(I25*J25,2)+(M25*J25)</f>
        <v>0</v>
      </c>
      <c r="L25" s="126">
        <v>0.1</v>
      </c>
      <c r="M25" s="125">
        <f t="shared" ref="M25:M47" si="6">ROUND(I25*L25*F25,2)</f>
        <v>5614.37</v>
      </c>
      <c r="N25" s="126">
        <v>0.4</v>
      </c>
      <c r="O25" s="124">
        <f>ROUND(H25*N25*F25,2)</f>
        <v>5309.1</v>
      </c>
      <c r="P25" s="127">
        <v>67067.210000000006</v>
      </c>
      <c r="Q25" s="128">
        <f>P25*12</f>
        <v>804806.52</v>
      </c>
      <c r="S25" s="129"/>
      <c r="T25" s="132"/>
      <c r="U25" s="129"/>
    </row>
    <row r="26" spans="1:29" ht="16.5" customHeight="1" x14ac:dyDescent="0.25">
      <c r="A26" s="170">
        <v>5</v>
      </c>
      <c r="B26" s="153" t="s">
        <v>314</v>
      </c>
      <c r="C26" s="154" t="s">
        <v>48</v>
      </c>
      <c r="D26" s="154" t="s">
        <v>53</v>
      </c>
      <c r="E26" s="155">
        <v>2</v>
      </c>
      <c r="F26" s="124">
        <v>0.08</v>
      </c>
      <c r="G26" s="124">
        <v>4.2300000000000004</v>
      </c>
      <c r="H26" s="125">
        <v>17697</v>
      </c>
      <c r="I26" s="127">
        <v>5988.67</v>
      </c>
      <c r="J26" s="126">
        <v>1</v>
      </c>
      <c r="K26" s="124">
        <v>0</v>
      </c>
      <c r="L26" s="126">
        <v>0.1</v>
      </c>
      <c r="M26" s="125">
        <v>598.87</v>
      </c>
      <c r="N26" s="126">
        <v>0.4</v>
      </c>
      <c r="O26" s="124">
        <v>566.29999999999995</v>
      </c>
      <c r="P26" s="127">
        <v>7153.84</v>
      </c>
      <c r="Q26" s="128">
        <f t="shared" ref="Q26:Q27" si="7">P26*12</f>
        <v>85846.080000000002</v>
      </c>
      <c r="S26" s="129"/>
      <c r="T26" s="132"/>
      <c r="U26" s="129"/>
    </row>
    <row r="27" spans="1:29" ht="16.5" customHeight="1" x14ac:dyDescent="0.25">
      <c r="A27" s="170">
        <v>6</v>
      </c>
      <c r="B27" s="153" t="s">
        <v>315</v>
      </c>
      <c r="C27" s="154" t="s">
        <v>48</v>
      </c>
      <c r="D27" s="154" t="s">
        <v>53</v>
      </c>
      <c r="E27" s="155">
        <v>2</v>
      </c>
      <c r="F27" s="124">
        <v>0.08</v>
      </c>
      <c r="G27" s="124">
        <v>4.2300000000000004</v>
      </c>
      <c r="H27" s="125">
        <v>17697</v>
      </c>
      <c r="I27" s="127">
        <v>5988.67</v>
      </c>
      <c r="J27" s="126">
        <v>2</v>
      </c>
      <c r="K27" s="124">
        <v>0</v>
      </c>
      <c r="L27" s="126">
        <v>0.1</v>
      </c>
      <c r="M27" s="125">
        <v>598.87</v>
      </c>
      <c r="N27" s="126">
        <v>0.4</v>
      </c>
      <c r="O27" s="124">
        <v>566.29999999999995</v>
      </c>
      <c r="P27" s="127">
        <v>7153.84</v>
      </c>
      <c r="Q27" s="128">
        <f t="shared" si="7"/>
        <v>85846.080000000002</v>
      </c>
      <c r="S27" s="129"/>
      <c r="T27" s="132"/>
      <c r="U27" s="129"/>
    </row>
    <row r="28" spans="1:29" ht="12.75" customHeight="1" x14ac:dyDescent="0.25">
      <c r="A28" s="170">
        <v>7</v>
      </c>
      <c r="B28" s="135" t="s">
        <v>51</v>
      </c>
      <c r="C28" s="154" t="s">
        <v>48</v>
      </c>
      <c r="D28" s="154" t="s">
        <v>53</v>
      </c>
      <c r="E28" s="155">
        <v>4</v>
      </c>
      <c r="F28" s="124">
        <v>1</v>
      </c>
      <c r="G28" s="124">
        <v>3.26</v>
      </c>
      <c r="H28" s="125">
        <v>17697</v>
      </c>
      <c r="I28" s="127">
        <f t="shared" si="4"/>
        <v>57692.219999999994</v>
      </c>
      <c r="J28" s="126">
        <v>0</v>
      </c>
      <c r="K28" s="124">
        <f t="shared" si="5"/>
        <v>0</v>
      </c>
      <c r="L28" s="126">
        <v>0.1</v>
      </c>
      <c r="M28" s="125">
        <f t="shared" si="6"/>
        <v>5769.22</v>
      </c>
      <c r="N28" s="126">
        <v>0.4</v>
      </c>
      <c r="O28" s="124">
        <f t="shared" ref="O28:O47" si="8">ROUND(H28*N28*F28,2)</f>
        <v>7078.8</v>
      </c>
      <c r="P28" s="127">
        <f t="shared" ref="P28:P44" si="9">ROUND((I28*F28)+M28+K28+O28,2)</f>
        <v>70540.240000000005</v>
      </c>
      <c r="Q28" s="128">
        <f t="shared" ref="Q28:Q47" si="10">P28*12</f>
        <v>846482.88000000012</v>
      </c>
      <c r="S28" s="129"/>
      <c r="T28" s="132"/>
      <c r="U28" s="129"/>
    </row>
    <row r="29" spans="1:29" x14ac:dyDescent="0.25">
      <c r="A29" s="170">
        <v>8</v>
      </c>
      <c r="B29" s="135" t="s">
        <v>157</v>
      </c>
      <c r="C29" s="154" t="s">
        <v>48</v>
      </c>
      <c r="D29" s="154" t="s">
        <v>53</v>
      </c>
      <c r="E29" s="155">
        <v>4</v>
      </c>
      <c r="F29" s="124">
        <v>2</v>
      </c>
      <c r="G29" s="124">
        <v>3.2</v>
      </c>
      <c r="H29" s="125">
        <v>17697</v>
      </c>
      <c r="I29" s="125">
        <f t="shared" si="4"/>
        <v>56630.400000000001</v>
      </c>
      <c r="J29" s="126">
        <v>0</v>
      </c>
      <c r="K29" s="124">
        <f t="shared" si="5"/>
        <v>0</v>
      </c>
      <c r="L29" s="126">
        <v>0.1</v>
      </c>
      <c r="M29" s="127">
        <f t="shared" si="6"/>
        <v>11326.08</v>
      </c>
      <c r="N29" s="126">
        <v>0.4</v>
      </c>
      <c r="O29" s="124">
        <f t="shared" si="8"/>
        <v>14157.6</v>
      </c>
      <c r="P29" s="127">
        <f t="shared" si="9"/>
        <v>138744.48000000001</v>
      </c>
      <c r="Q29" s="128">
        <f t="shared" si="10"/>
        <v>1664933.7600000002</v>
      </c>
      <c r="R29" s="130"/>
      <c r="S29" s="129"/>
      <c r="T29" s="132"/>
      <c r="U29" s="129"/>
    </row>
    <row r="30" spans="1:29" x14ac:dyDescent="0.25">
      <c r="A30" s="170">
        <v>9</v>
      </c>
      <c r="B30" s="135" t="s">
        <v>157</v>
      </c>
      <c r="C30" s="154" t="s">
        <v>48</v>
      </c>
      <c r="D30" s="154" t="s">
        <v>53</v>
      </c>
      <c r="E30" s="155">
        <v>4</v>
      </c>
      <c r="F30" s="124">
        <v>1</v>
      </c>
      <c r="G30" s="124">
        <v>3.92</v>
      </c>
      <c r="H30" s="125">
        <v>17697</v>
      </c>
      <c r="I30" s="125">
        <f t="shared" ref="I30" si="11">G30*H30</f>
        <v>69372.240000000005</v>
      </c>
      <c r="J30" s="126">
        <v>1</v>
      </c>
      <c r="K30" s="124">
        <v>0</v>
      </c>
      <c r="L30" s="126">
        <v>0.1</v>
      </c>
      <c r="M30" s="127">
        <f t="shared" ref="M30" si="12">ROUND(I30*L30*F30,2)</f>
        <v>6937.22</v>
      </c>
      <c r="N30" s="126">
        <v>0.4</v>
      </c>
      <c r="O30" s="124">
        <f t="shared" ref="O30" si="13">ROUND(H30*N30*F30,2)</f>
        <v>7078.8</v>
      </c>
      <c r="P30" s="127">
        <f t="shared" ref="P30" si="14">ROUND((I30*F30)+M30+K30+O30,2)</f>
        <v>83388.259999999995</v>
      </c>
      <c r="Q30" s="128">
        <f t="shared" ref="Q30" si="15">P30*12</f>
        <v>1000659.1199999999</v>
      </c>
      <c r="R30" s="130"/>
      <c r="S30" s="129"/>
      <c r="T30" s="132"/>
      <c r="U30" s="129"/>
    </row>
    <row r="31" spans="1:29" x14ac:dyDescent="0.25">
      <c r="A31" s="170">
        <v>10</v>
      </c>
      <c r="B31" s="135" t="s">
        <v>157</v>
      </c>
      <c r="C31" s="154" t="s">
        <v>48</v>
      </c>
      <c r="D31" s="154" t="s">
        <v>53</v>
      </c>
      <c r="E31" s="155">
        <v>4</v>
      </c>
      <c r="F31" s="124">
        <v>1</v>
      </c>
      <c r="G31" s="124">
        <v>3.72</v>
      </c>
      <c r="H31" s="125">
        <v>17697</v>
      </c>
      <c r="I31" s="125">
        <f t="shared" si="4"/>
        <v>65832.84</v>
      </c>
      <c r="J31" s="126">
        <v>0</v>
      </c>
      <c r="K31" s="124">
        <f t="shared" si="5"/>
        <v>0</v>
      </c>
      <c r="L31" s="126">
        <v>0.1</v>
      </c>
      <c r="M31" s="125">
        <f t="shared" si="6"/>
        <v>6583.28</v>
      </c>
      <c r="N31" s="126">
        <v>0.4</v>
      </c>
      <c r="O31" s="124">
        <f t="shared" si="8"/>
        <v>7078.8</v>
      </c>
      <c r="P31" s="127">
        <f t="shared" si="9"/>
        <v>79494.92</v>
      </c>
      <c r="Q31" s="128">
        <f t="shared" si="10"/>
        <v>953939.04</v>
      </c>
      <c r="S31" s="129"/>
      <c r="T31" s="132"/>
      <c r="U31" s="129"/>
    </row>
    <row r="32" spans="1:29" x14ac:dyDescent="0.25">
      <c r="A32" s="170">
        <v>11</v>
      </c>
      <c r="B32" s="135" t="s">
        <v>157</v>
      </c>
      <c r="C32" s="154" t="s">
        <v>48</v>
      </c>
      <c r="D32" s="154" t="s">
        <v>53</v>
      </c>
      <c r="E32" s="155">
        <v>4</v>
      </c>
      <c r="F32" s="124">
        <v>1</v>
      </c>
      <c r="G32" s="124">
        <v>3.14</v>
      </c>
      <c r="H32" s="125">
        <v>17697</v>
      </c>
      <c r="I32" s="125">
        <f t="shared" ref="I32" si="16">G32*H32</f>
        <v>55568.58</v>
      </c>
      <c r="J32" s="126">
        <v>0</v>
      </c>
      <c r="K32" s="124">
        <f t="shared" ref="K32" si="17">ROUND(I32*J32,2)+(M32*J32)</f>
        <v>0</v>
      </c>
      <c r="L32" s="126">
        <v>0.1</v>
      </c>
      <c r="M32" s="125">
        <f t="shared" ref="M32" si="18">ROUND(I32*L32*F32,2)</f>
        <v>5556.86</v>
      </c>
      <c r="N32" s="126">
        <v>0.4</v>
      </c>
      <c r="O32" s="124">
        <f t="shared" ref="O32" si="19">ROUND(H32*N32*F32,2)</f>
        <v>7078.8</v>
      </c>
      <c r="P32" s="127">
        <f t="shared" ref="P32" si="20">ROUND((I32*F32)+M32+K32+O32,2)</f>
        <v>68204.240000000005</v>
      </c>
      <c r="Q32" s="128">
        <f t="shared" ref="Q32" si="21">P32*12</f>
        <v>818450.88000000012</v>
      </c>
      <c r="S32" s="129"/>
      <c r="T32" s="132"/>
      <c r="U32" s="129"/>
    </row>
    <row r="33" spans="1:24" x14ac:dyDescent="0.25">
      <c r="A33" s="170">
        <v>12</v>
      </c>
      <c r="B33" s="135" t="s">
        <v>58</v>
      </c>
      <c r="C33" s="154" t="s">
        <v>48</v>
      </c>
      <c r="D33" s="154" t="s">
        <v>53</v>
      </c>
      <c r="E33" s="134">
        <v>4</v>
      </c>
      <c r="F33" s="124">
        <v>0.5</v>
      </c>
      <c r="G33" s="124">
        <v>3.72</v>
      </c>
      <c r="H33" s="125">
        <v>17697</v>
      </c>
      <c r="I33" s="127">
        <f>G33*H33</f>
        <v>65832.84</v>
      </c>
      <c r="J33" s="126">
        <v>0</v>
      </c>
      <c r="K33" s="124">
        <f>ROUND(I33*J33,2)+(M33*J33)</f>
        <v>0</v>
      </c>
      <c r="L33" s="126">
        <v>0.1</v>
      </c>
      <c r="M33" s="125">
        <f>ROUND(I33*L33*F33,2)</f>
        <v>3291.64</v>
      </c>
      <c r="N33" s="126">
        <v>0.4</v>
      </c>
      <c r="O33" s="124">
        <f>ROUND(H33*N33*F33,2)</f>
        <v>3539.4</v>
      </c>
      <c r="P33" s="127">
        <f>ROUND((I33*F33)+M33+K33+O33,2)</f>
        <v>39747.46</v>
      </c>
      <c r="Q33" s="128">
        <f>P33*12</f>
        <v>476969.52</v>
      </c>
      <c r="S33" s="129"/>
      <c r="T33" s="132"/>
      <c r="U33" s="129"/>
    </row>
    <row r="34" spans="1:24" x14ac:dyDescent="0.25">
      <c r="A34" s="170">
        <v>13</v>
      </c>
      <c r="B34" s="135" t="s">
        <v>60</v>
      </c>
      <c r="C34" s="154" t="s">
        <v>48</v>
      </c>
      <c r="D34" s="133" t="s">
        <v>53</v>
      </c>
      <c r="E34" s="134">
        <v>4</v>
      </c>
      <c r="F34" s="124">
        <v>1</v>
      </c>
      <c r="G34" s="124">
        <v>3.44</v>
      </c>
      <c r="H34" s="125">
        <v>17697</v>
      </c>
      <c r="I34" s="125">
        <f>G34*H34</f>
        <v>60877.68</v>
      </c>
      <c r="J34" s="126">
        <v>0</v>
      </c>
      <c r="K34" s="124">
        <f>ROUND(I34*J34,2)+(M34*J34)</f>
        <v>0</v>
      </c>
      <c r="L34" s="126">
        <v>0.1</v>
      </c>
      <c r="M34" s="127">
        <f>ROUND(I34*L34*F34,2)</f>
        <v>6087.77</v>
      </c>
      <c r="N34" s="126">
        <v>0.4</v>
      </c>
      <c r="O34" s="124">
        <f>ROUND(H34*N34*F34,2)</f>
        <v>7078.8</v>
      </c>
      <c r="P34" s="127">
        <f>ROUND((I34*F34)+M34+K34+O34,2)</f>
        <v>74044.25</v>
      </c>
      <c r="Q34" s="128">
        <f>P34*12</f>
        <v>888531</v>
      </c>
      <c r="R34" s="130"/>
      <c r="S34" s="129"/>
      <c r="T34" s="132"/>
      <c r="U34" s="129"/>
    </row>
    <row r="35" spans="1:24" x14ac:dyDescent="0.25">
      <c r="A35" s="170">
        <v>14</v>
      </c>
      <c r="B35" s="135" t="s">
        <v>60</v>
      </c>
      <c r="C35" s="154" t="s">
        <v>48</v>
      </c>
      <c r="D35" s="133" t="s">
        <v>53</v>
      </c>
      <c r="E35" s="134">
        <v>4</v>
      </c>
      <c r="F35" s="124">
        <v>1</v>
      </c>
      <c r="G35" s="124">
        <v>3.38</v>
      </c>
      <c r="H35" s="125">
        <v>17697</v>
      </c>
      <c r="I35" s="125">
        <f>G35*H35</f>
        <v>59815.86</v>
      </c>
      <c r="J35" s="126">
        <v>0</v>
      </c>
      <c r="K35" s="124">
        <f>ROUND(I35*J35,2)+(M35*J35)</f>
        <v>0</v>
      </c>
      <c r="L35" s="126">
        <v>0.1</v>
      </c>
      <c r="M35" s="127">
        <f>ROUND(I35*L35*F35,2)</f>
        <v>5981.59</v>
      </c>
      <c r="N35" s="126">
        <v>0.4</v>
      </c>
      <c r="O35" s="124">
        <f>ROUND(H35*N35*F35,2)</f>
        <v>7078.8</v>
      </c>
      <c r="P35" s="127">
        <f>ROUND((I35*F35)+M35+K35+O35,2)</f>
        <v>72876.25</v>
      </c>
      <c r="Q35" s="128">
        <f>P35*12</f>
        <v>874515</v>
      </c>
      <c r="R35" s="130"/>
      <c r="S35" s="129"/>
      <c r="T35" s="132"/>
      <c r="U35" s="129"/>
    </row>
    <row r="36" spans="1:24" x14ac:dyDescent="0.25">
      <c r="A36" s="170">
        <v>15</v>
      </c>
      <c r="B36" s="135" t="s">
        <v>63</v>
      </c>
      <c r="C36" s="136" t="s">
        <v>48</v>
      </c>
      <c r="D36" s="136" t="s">
        <v>56</v>
      </c>
      <c r="E36" s="134">
        <v>3</v>
      </c>
      <c r="F36" s="124">
        <v>0.5</v>
      </c>
      <c r="G36" s="124">
        <v>3.92</v>
      </c>
      <c r="H36" s="125">
        <v>17697</v>
      </c>
      <c r="I36" s="125">
        <f t="shared" si="4"/>
        <v>69372.240000000005</v>
      </c>
      <c r="J36" s="126">
        <v>0</v>
      </c>
      <c r="K36" s="124">
        <f t="shared" si="5"/>
        <v>0</v>
      </c>
      <c r="L36" s="126">
        <v>0.1</v>
      </c>
      <c r="M36" s="125">
        <f t="shared" si="6"/>
        <v>3468.61</v>
      </c>
      <c r="N36" s="126"/>
      <c r="O36" s="124">
        <f t="shared" si="8"/>
        <v>0</v>
      </c>
      <c r="P36" s="127">
        <f t="shared" si="9"/>
        <v>38154.730000000003</v>
      </c>
      <c r="Q36" s="128">
        <f t="shared" si="10"/>
        <v>457856.76</v>
      </c>
      <c r="S36" s="156"/>
      <c r="T36" s="132"/>
      <c r="U36" s="129"/>
    </row>
    <row r="37" spans="1:24" x14ac:dyDescent="0.25">
      <c r="A37" s="170">
        <v>16</v>
      </c>
      <c r="B37" s="135" t="s">
        <v>66</v>
      </c>
      <c r="C37" s="136" t="s">
        <v>48</v>
      </c>
      <c r="D37" s="136" t="s">
        <v>53</v>
      </c>
      <c r="E37" s="134">
        <v>4</v>
      </c>
      <c r="F37" s="124">
        <v>0.25</v>
      </c>
      <c r="G37" s="124">
        <v>3.65</v>
      </c>
      <c r="H37" s="125">
        <v>17697</v>
      </c>
      <c r="I37" s="125">
        <f t="shared" si="4"/>
        <v>64594.049999999996</v>
      </c>
      <c r="J37" s="126">
        <v>0</v>
      </c>
      <c r="K37" s="124">
        <f t="shared" si="5"/>
        <v>0</v>
      </c>
      <c r="L37" s="126">
        <v>0.1</v>
      </c>
      <c r="M37" s="125">
        <f t="shared" si="6"/>
        <v>1614.85</v>
      </c>
      <c r="N37" s="126">
        <v>0.4</v>
      </c>
      <c r="O37" s="124">
        <f t="shared" si="8"/>
        <v>1769.7</v>
      </c>
      <c r="P37" s="127">
        <f>ROUND((I37*F37)+M37+K37+O37,2)</f>
        <v>19533.060000000001</v>
      </c>
      <c r="Q37" s="128">
        <f t="shared" si="10"/>
        <v>234396.72000000003</v>
      </c>
      <c r="S37" s="129"/>
      <c r="T37" s="132"/>
      <c r="U37" s="129"/>
    </row>
    <row r="38" spans="1:24" x14ac:dyDescent="0.25">
      <c r="A38" s="170">
        <v>17</v>
      </c>
      <c r="B38" s="135" t="s">
        <v>68</v>
      </c>
      <c r="C38" s="136" t="s">
        <v>48</v>
      </c>
      <c r="D38" s="136" t="s">
        <v>53</v>
      </c>
      <c r="E38" s="134">
        <v>4</v>
      </c>
      <c r="F38" s="124">
        <v>0.25</v>
      </c>
      <c r="G38" s="124">
        <v>3.65</v>
      </c>
      <c r="H38" s="125">
        <v>17697</v>
      </c>
      <c r="I38" s="125">
        <f t="shared" si="4"/>
        <v>64594.049999999996</v>
      </c>
      <c r="J38" s="126">
        <v>0</v>
      </c>
      <c r="K38" s="124">
        <f t="shared" si="5"/>
        <v>0</v>
      </c>
      <c r="L38" s="126">
        <v>0.1</v>
      </c>
      <c r="M38" s="125">
        <f t="shared" si="6"/>
        <v>1614.85</v>
      </c>
      <c r="N38" s="126">
        <v>0.4</v>
      </c>
      <c r="O38" s="124">
        <f t="shared" si="8"/>
        <v>1769.7</v>
      </c>
      <c r="P38" s="127">
        <f t="shared" si="9"/>
        <v>19533.060000000001</v>
      </c>
      <c r="Q38" s="128">
        <f t="shared" si="10"/>
        <v>234396.72000000003</v>
      </c>
      <c r="S38" s="129"/>
      <c r="T38" s="132"/>
      <c r="U38" s="129"/>
    </row>
    <row r="39" spans="1:24" x14ac:dyDescent="0.25">
      <c r="A39" s="170">
        <v>18</v>
      </c>
      <c r="B39" s="135" t="s">
        <v>71</v>
      </c>
      <c r="C39" s="136" t="s">
        <v>48</v>
      </c>
      <c r="D39" s="136" t="s">
        <v>49</v>
      </c>
      <c r="E39" s="134">
        <v>4</v>
      </c>
      <c r="F39" s="124">
        <v>1</v>
      </c>
      <c r="G39" s="124">
        <v>2.68</v>
      </c>
      <c r="H39" s="125">
        <v>17697</v>
      </c>
      <c r="I39" s="125">
        <f t="shared" si="4"/>
        <v>47427.960000000006</v>
      </c>
      <c r="J39" s="126">
        <v>0</v>
      </c>
      <c r="K39" s="124">
        <f t="shared" si="5"/>
        <v>0</v>
      </c>
      <c r="L39" s="126">
        <v>0.1</v>
      </c>
      <c r="M39" s="125">
        <f t="shared" si="6"/>
        <v>4742.8</v>
      </c>
      <c r="N39" s="126">
        <v>0.4</v>
      </c>
      <c r="O39" s="124">
        <f t="shared" si="8"/>
        <v>7078.8</v>
      </c>
      <c r="P39" s="127">
        <f t="shared" si="9"/>
        <v>59249.56</v>
      </c>
      <c r="Q39" s="128">
        <f t="shared" si="10"/>
        <v>710994.72</v>
      </c>
      <c r="R39" s="130"/>
      <c r="S39" s="129"/>
      <c r="T39" s="132"/>
      <c r="U39" s="129"/>
    </row>
    <row r="40" spans="1:24" x14ac:dyDescent="0.25">
      <c r="A40" s="170">
        <v>19</v>
      </c>
      <c r="B40" s="135" t="s">
        <v>158</v>
      </c>
      <c r="C40" s="136" t="s">
        <v>48</v>
      </c>
      <c r="D40" s="136" t="s">
        <v>49</v>
      </c>
      <c r="E40" s="134">
        <v>4</v>
      </c>
      <c r="F40" s="124">
        <v>0.5</v>
      </c>
      <c r="G40" s="124">
        <v>2.68</v>
      </c>
      <c r="H40" s="125">
        <v>17697</v>
      </c>
      <c r="I40" s="125">
        <f t="shared" si="4"/>
        <v>47427.960000000006</v>
      </c>
      <c r="J40" s="126">
        <v>0</v>
      </c>
      <c r="K40" s="124">
        <f t="shared" si="5"/>
        <v>0</v>
      </c>
      <c r="L40" s="126">
        <v>0.1</v>
      </c>
      <c r="M40" s="125">
        <f t="shared" si="6"/>
        <v>2371.4</v>
      </c>
      <c r="N40" s="126">
        <v>0.4</v>
      </c>
      <c r="O40" s="124">
        <f t="shared" si="8"/>
        <v>3539.4</v>
      </c>
      <c r="P40" s="127">
        <f>ROUND((I40*F40)+M40+K40+O40,2)-0.01</f>
        <v>29624.77</v>
      </c>
      <c r="Q40" s="128">
        <f t="shared" si="10"/>
        <v>355497.24</v>
      </c>
      <c r="R40" s="130"/>
      <c r="S40" s="129"/>
      <c r="T40" s="132"/>
      <c r="U40" s="129"/>
    </row>
    <row r="41" spans="1:24" x14ac:dyDescent="0.25">
      <c r="A41" s="170">
        <v>20</v>
      </c>
      <c r="B41" s="135" t="s">
        <v>73</v>
      </c>
      <c r="C41" s="136"/>
      <c r="D41" s="136" t="s">
        <v>37</v>
      </c>
      <c r="E41" s="134">
        <v>2</v>
      </c>
      <c r="F41" s="124">
        <v>1</v>
      </c>
      <c r="G41" s="124">
        <v>3.08</v>
      </c>
      <c r="H41" s="125">
        <v>17697</v>
      </c>
      <c r="I41" s="125">
        <f t="shared" si="4"/>
        <v>54506.76</v>
      </c>
      <c r="J41" s="126">
        <v>0</v>
      </c>
      <c r="K41" s="124">
        <f t="shared" si="5"/>
        <v>0</v>
      </c>
      <c r="L41" s="126">
        <v>0.1</v>
      </c>
      <c r="M41" s="125">
        <f t="shared" si="6"/>
        <v>5450.68</v>
      </c>
      <c r="N41" s="126"/>
      <c r="O41" s="124">
        <f t="shared" si="8"/>
        <v>0</v>
      </c>
      <c r="P41" s="127">
        <f t="shared" si="9"/>
        <v>59957.440000000002</v>
      </c>
      <c r="Q41" s="128">
        <f t="shared" si="10"/>
        <v>719489.28</v>
      </c>
      <c r="R41" s="130"/>
      <c r="S41" s="129"/>
      <c r="T41" s="132"/>
      <c r="U41" s="129"/>
    </row>
    <row r="42" spans="1:24" x14ac:dyDescent="0.25">
      <c r="A42" s="170">
        <v>21</v>
      </c>
      <c r="B42" s="135" t="s">
        <v>317</v>
      </c>
      <c r="C42" s="136"/>
      <c r="D42" s="136" t="s">
        <v>94</v>
      </c>
      <c r="E42" s="134" t="s">
        <v>94</v>
      </c>
      <c r="F42" s="124">
        <v>0.5</v>
      </c>
      <c r="G42" s="124">
        <v>1.64</v>
      </c>
      <c r="H42" s="125">
        <v>17697</v>
      </c>
      <c r="I42" s="125">
        <f t="shared" ref="I42" si="22">G42*H42</f>
        <v>29023.079999999998</v>
      </c>
      <c r="J42" s="126">
        <v>1</v>
      </c>
      <c r="K42" s="124">
        <v>0</v>
      </c>
      <c r="L42" s="126">
        <v>0.1</v>
      </c>
      <c r="M42" s="125">
        <f t="shared" ref="M42" si="23">ROUND(I42*L42*F42,2)</f>
        <v>1451.15</v>
      </c>
      <c r="N42" s="126"/>
      <c r="O42" s="124">
        <f t="shared" ref="O42" si="24">ROUND(H42*N42*F42,2)</f>
        <v>0</v>
      </c>
      <c r="P42" s="127">
        <f t="shared" ref="P42" si="25">ROUND((I42*F42)+M42+K42+O42,2)</f>
        <v>15962.69</v>
      </c>
      <c r="Q42" s="128">
        <f t="shared" ref="Q42" si="26">P42*12</f>
        <v>191552.28</v>
      </c>
      <c r="R42" s="130"/>
      <c r="S42" s="129"/>
      <c r="T42" s="132"/>
      <c r="U42" s="129"/>
    </row>
    <row r="43" spans="1:24" ht="31.5" x14ac:dyDescent="0.25">
      <c r="A43" s="170">
        <v>22</v>
      </c>
      <c r="B43" s="135" t="s">
        <v>159</v>
      </c>
      <c r="C43" s="136" t="s">
        <v>48</v>
      </c>
      <c r="D43" s="136" t="s">
        <v>56</v>
      </c>
      <c r="E43" s="134">
        <v>4</v>
      </c>
      <c r="F43" s="124">
        <v>1.25</v>
      </c>
      <c r="G43" s="157" t="s">
        <v>212</v>
      </c>
      <c r="H43" s="125">
        <v>17697</v>
      </c>
      <c r="I43" s="125">
        <f t="shared" si="4"/>
        <v>59992.83</v>
      </c>
      <c r="J43" s="126">
        <v>0</v>
      </c>
      <c r="K43" s="124">
        <f t="shared" si="5"/>
        <v>0</v>
      </c>
      <c r="L43" s="126">
        <v>0.1</v>
      </c>
      <c r="M43" s="125">
        <f t="shared" si="6"/>
        <v>7499.1</v>
      </c>
      <c r="N43" s="126">
        <v>0.4</v>
      </c>
      <c r="O43" s="124">
        <f t="shared" si="8"/>
        <v>8848.5</v>
      </c>
      <c r="P43" s="127">
        <f t="shared" si="9"/>
        <v>91338.64</v>
      </c>
      <c r="Q43" s="128">
        <f t="shared" si="10"/>
        <v>1096063.68</v>
      </c>
      <c r="R43" s="130"/>
      <c r="S43" s="129"/>
      <c r="T43" s="132"/>
      <c r="U43" s="129"/>
    </row>
    <row r="44" spans="1:24" x14ac:dyDescent="0.25">
      <c r="A44" s="170">
        <v>23</v>
      </c>
      <c r="B44" s="135" t="s">
        <v>78</v>
      </c>
      <c r="C44" s="136" t="s">
        <v>48</v>
      </c>
      <c r="D44" s="136" t="s">
        <v>56</v>
      </c>
      <c r="E44" s="134">
        <v>4</v>
      </c>
      <c r="F44" s="124">
        <v>12.5</v>
      </c>
      <c r="G44" s="124">
        <v>3.8</v>
      </c>
      <c r="H44" s="125">
        <v>17697</v>
      </c>
      <c r="I44" s="125">
        <f t="shared" si="4"/>
        <v>67248.599999999991</v>
      </c>
      <c r="J44" s="126">
        <v>0</v>
      </c>
      <c r="K44" s="124">
        <f t="shared" si="5"/>
        <v>0</v>
      </c>
      <c r="L44" s="126">
        <v>0.1</v>
      </c>
      <c r="M44" s="125">
        <f t="shared" si="6"/>
        <v>84060.75</v>
      </c>
      <c r="N44" s="126">
        <v>0.4</v>
      </c>
      <c r="O44" s="124">
        <f t="shared" si="8"/>
        <v>88485</v>
      </c>
      <c r="P44" s="127">
        <f t="shared" si="9"/>
        <v>1013153.25</v>
      </c>
      <c r="Q44" s="128">
        <f t="shared" si="10"/>
        <v>12157839</v>
      </c>
      <c r="R44" s="130"/>
      <c r="S44" s="129"/>
      <c r="T44" s="132"/>
      <c r="U44" s="129"/>
    </row>
    <row r="45" spans="1:24" ht="31.5" x14ac:dyDescent="0.25">
      <c r="A45" s="170">
        <v>24</v>
      </c>
      <c r="B45" s="135" t="s">
        <v>92</v>
      </c>
      <c r="C45" s="131"/>
      <c r="D45" s="131"/>
      <c r="E45" s="134" t="s">
        <v>94</v>
      </c>
      <c r="F45" s="124">
        <v>0.25</v>
      </c>
      <c r="G45" s="124">
        <v>1.76</v>
      </c>
      <c r="H45" s="125">
        <v>17697</v>
      </c>
      <c r="I45" s="125">
        <f t="shared" si="4"/>
        <v>31146.720000000001</v>
      </c>
      <c r="J45" s="126">
        <v>0</v>
      </c>
      <c r="K45" s="124">
        <f t="shared" si="5"/>
        <v>0</v>
      </c>
      <c r="L45" s="126">
        <v>0.1</v>
      </c>
      <c r="M45" s="125">
        <f t="shared" si="6"/>
        <v>778.67</v>
      </c>
      <c r="N45" s="126"/>
      <c r="O45" s="124"/>
      <c r="P45" s="127">
        <f>ROUND((I45*F45)+M45+K45+O45,2)</f>
        <v>8565.35</v>
      </c>
      <c r="Q45" s="128">
        <f t="shared" si="10"/>
        <v>102784.20000000001</v>
      </c>
      <c r="S45" s="129"/>
      <c r="T45" s="132"/>
      <c r="U45" s="129"/>
    </row>
    <row r="46" spans="1:24" x14ac:dyDescent="0.25">
      <c r="A46" s="170">
        <v>25</v>
      </c>
      <c r="B46" s="135" t="s">
        <v>95</v>
      </c>
      <c r="C46" s="131"/>
      <c r="D46" s="131"/>
      <c r="E46" s="134" t="s">
        <v>94</v>
      </c>
      <c r="F46" s="123">
        <v>6.25</v>
      </c>
      <c r="G46" s="124">
        <v>1.704</v>
      </c>
      <c r="H46" s="125">
        <v>17697</v>
      </c>
      <c r="I46" s="125">
        <v>152194.20000000001</v>
      </c>
      <c r="J46" s="126">
        <v>0</v>
      </c>
      <c r="K46" s="124">
        <f t="shared" si="5"/>
        <v>0</v>
      </c>
      <c r="L46" s="126">
        <v>0.1</v>
      </c>
      <c r="M46" s="125">
        <v>19024.28</v>
      </c>
      <c r="N46" s="126">
        <v>0.7</v>
      </c>
      <c r="O46" s="124">
        <f t="shared" si="8"/>
        <v>77424.38</v>
      </c>
      <c r="P46" s="127">
        <v>286691.39</v>
      </c>
      <c r="Q46" s="128">
        <f t="shared" si="10"/>
        <v>3440296.68</v>
      </c>
      <c r="R46" s="158"/>
      <c r="S46" s="129"/>
      <c r="T46" s="132"/>
      <c r="W46" s="158"/>
      <c r="X46" s="158"/>
    </row>
    <row r="47" spans="1:24" ht="32.25" thickBot="1" x14ac:dyDescent="0.3">
      <c r="A47" s="170">
        <v>26</v>
      </c>
      <c r="B47" s="135" t="s">
        <v>99</v>
      </c>
      <c r="C47" s="136" t="s">
        <v>48</v>
      </c>
      <c r="D47" s="136" t="s">
        <v>56</v>
      </c>
      <c r="E47" s="134">
        <v>1</v>
      </c>
      <c r="F47" s="123">
        <v>1.25</v>
      </c>
      <c r="G47" s="124">
        <v>4.1399999999999997</v>
      </c>
      <c r="H47" s="125">
        <v>17697</v>
      </c>
      <c r="I47" s="125">
        <f>G47*H47</f>
        <v>73265.579999999987</v>
      </c>
      <c r="J47" s="126">
        <v>0</v>
      </c>
      <c r="K47" s="124">
        <f t="shared" si="5"/>
        <v>0</v>
      </c>
      <c r="L47" s="126">
        <v>0.1</v>
      </c>
      <c r="M47" s="125">
        <f t="shared" si="6"/>
        <v>9158.2000000000007</v>
      </c>
      <c r="N47" s="126">
        <v>0.4</v>
      </c>
      <c r="O47" s="124">
        <f t="shared" si="8"/>
        <v>8848.5</v>
      </c>
      <c r="P47" s="127">
        <v>109588.67</v>
      </c>
      <c r="Q47" s="128">
        <f t="shared" si="10"/>
        <v>1315064.04</v>
      </c>
      <c r="S47" s="129"/>
      <c r="T47" s="132"/>
      <c r="U47" s="129"/>
    </row>
    <row r="48" spans="1:24" s="346" customFormat="1" ht="16.5" thickBot="1" x14ac:dyDescent="0.3">
      <c r="A48" s="518" t="s">
        <v>160</v>
      </c>
      <c r="B48" s="519"/>
      <c r="C48" s="343"/>
      <c r="D48" s="343"/>
      <c r="E48" s="140"/>
      <c r="F48" s="159">
        <f>SUM(F25:F47)</f>
        <v>34.909999999999997</v>
      </c>
      <c r="G48" s="159"/>
      <c r="H48" s="159"/>
      <c r="I48" s="141">
        <f>SUM(I25:I47)</f>
        <v>1339252.3400000001</v>
      </c>
      <c r="J48" s="141"/>
      <c r="K48" s="141">
        <f>SUM(K25:K47)</f>
        <v>0</v>
      </c>
      <c r="L48" s="141"/>
      <c r="M48" s="141">
        <f>SUM(M25:M47)</f>
        <v>199581.11000000002</v>
      </c>
      <c r="N48" s="142"/>
      <c r="O48" s="141">
        <f>SUM(O25:O47)</f>
        <v>264375.48</v>
      </c>
      <c r="P48" s="141">
        <f>SUM(P25:P47)-0.01</f>
        <v>2459767.5900000003</v>
      </c>
      <c r="Q48" s="143">
        <v>27592052.600000001</v>
      </c>
      <c r="S48" s="145">
        <f>'[1]РАСЧЁТЫ по действующей системе'!W92</f>
        <v>1704283.07</v>
      </c>
      <c r="T48" s="146">
        <f>P48-S48</f>
        <v>755484.52000000025</v>
      </c>
      <c r="U48" s="146" t="b">
        <f>IF(P48&lt;&gt;S48,FALSE,0)</f>
        <v>0</v>
      </c>
      <c r="V48" s="161"/>
    </row>
    <row r="49" spans="1:23" ht="47.25" x14ac:dyDescent="0.25">
      <c r="A49" s="114"/>
      <c r="B49" s="162" t="s">
        <v>161</v>
      </c>
      <c r="C49" s="163"/>
      <c r="D49" s="163"/>
      <c r="E49" s="149"/>
      <c r="F49" s="164"/>
      <c r="G49" s="164"/>
      <c r="H49" s="164"/>
      <c r="I49" s="150"/>
      <c r="J49" s="150"/>
      <c r="K49" s="150"/>
      <c r="L49" s="150"/>
      <c r="M49" s="150"/>
      <c r="N49" s="150"/>
      <c r="O49" s="150"/>
      <c r="P49" s="151"/>
      <c r="Q49" s="152"/>
      <c r="S49" s="132"/>
      <c r="T49" s="132"/>
      <c r="U49" s="132"/>
      <c r="W49" s="351"/>
    </row>
    <row r="50" spans="1:23" x14ac:dyDescent="0.25">
      <c r="A50" s="170">
        <v>27</v>
      </c>
      <c r="B50" s="165" t="s">
        <v>106</v>
      </c>
      <c r="C50" s="166"/>
      <c r="D50" s="166"/>
      <c r="E50" s="167"/>
      <c r="F50" s="123">
        <v>2</v>
      </c>
      <c r="G50" s="124">
        <v>2.1</v>
      </c>
      <c r="H50" s="125">
        <v>17697</v>
      </c>
      <c r="I50" s="125">
        <f t="shared" ref="I50:I59" si="27">G50*H50</f>
        <v>37163.700000000004</v>
      </c>
      <c r="J50" s="126">
        <v>0</v>
      </c>
      <c r="K50" s="124">
        <f t="shared" ref="K50:K59" si="28">ROUND(I50*J50,2)</f>
        <v>0</v>
      </c>
      <c r="L50" s="126">
        <v>0.1</v>
      </c>
      <c r="M50" s="125">
        <f t="shared" ref="M50:M59" si="29">ROUND(I50*L50*F50,2)</f>
        <v>7432.74</v>
      </c>
      <c r="N50" s="126">
        <v>0.6</v>
      </c>
      <c r="O50" s="124">
        <f t="shared" ref="O50:O59" si="30">ROUND(H50*N50,2)</f>
        <v>10618.2</v>
      </c>
      <c r="P50" s="127">
        <f>ROUND((I50*F50)+M50+K50+O50,2)</f>
        <v>92378.34</v>
      </c>
      <c r="Q50" s="128">
        <f>P50*12</f>
        <v>1108540.08</v>
      </c>
      <c r="S50" s="129"/>
      <c r="T50" s="132"/>
      <c r="U50" s="129"/>
    </row>
    <row r="51" spans="1:23" x14ac:dyDescent="0.25">
      <c r="A51" s="170">
        <v>28</v>
      </c>
      <c r="B51" s="165" t="s">
        <v>109</v>
      </c>
      <c r="C51" s="166"/>
      <c r="D51" s="166"/>
      <c r="E51" s="167"/>
      <c r="F51" s="123">
        <v>0.5</v>
      </c>
      <c r="G51" s="124">
        <v>1.71</v>
      </c>
      <c r="H51" s="125">
        <v>17697</v>
      </c>
      <c r="I51" s="125">
        <f t="shared" si="27"/>
        <v>30261.87</v>
      </c>
      <c r="J51" s="126">
        <v>0</v>
      </c>
      <c r="K51" s="124">
        <f t="shared" si="28"/>
        <v>0</v>
      </c>
      <c r="L51" s="126">
        <v>0.1</v>
      </c>
      <c r="M51" s="125">
        <f t="shared" si="29"/>
        <v>1513.09</v>
      </c>
      <c r="N51" s="168"/>
      <c r="O51" s="124">
        <f t="shared" si="30"/>
        <v>0</v>
      </c>
      <c r="P51" s="127">
        <f t="shared" ref="P51:P59" si="31">ROUND((I51*F51)+M51+K51+O51,2)</f>
        <v>16644.03</v>
      </c>
      <c r="Q51" s="128">
        <f t="shared" ref="Q51:Q59" si="32">P51*12</f>
        <v>199728.36</v>
      </c>
      <c r="R51" s="130"/>
      <c r="S51" s="129"/>
      <c r="T51" s="132"/>
      <c r="U51" s="129"/>
    </row>
    <row r="52" spans="1:23" x14ac:dyDescent="0.25">
      <c r="A52" s="170">
        <v>29</v>
      </c>
      <c r="B52" s="165" t="s">
        <v>111</v>
      </c>
      <c r="C52" s="166"/>
      <c r="D52" s="166"/>
      <c r="E52" s="167"/>
      <c r="F52" s="123">
        <v>0.5</v>
      </c>
      <c r="G52" s="123">
        <v>1.83</v>
      </c>
      <c r="H52" s="125">
        <v>17697</v>
      </c>
      <c r="I52" s="125">
        <f t="shared" si="27"/>
        <v>32385.510000000002</v>
      </c>
      <c r="J52" s="126">
        <v>0</v>
      </c>
      <c r="K52" s="124">
        <f t="shared" si="28"/>
        <v>0</v>
      </c>
      <c r="L52" s="126">
        <v>0.1</v>
      </c>
      <c r="M52" s="125">
        <f t="shared" si="29"/>
        <v>1619.28</v>
      </c>
      <c r="N52" s="126"/>
      <c r="O52" s="124">
        <f t="shared" si="30"/>
        <v>0</v>
      </c>
      <c r="P52" s="127">
        <v>17812.03</v>
      </c>
      <c r="Q52" s="128">
        <f t="shared" si="32"/>
        <v>213744.36</v>
      </c>
      <c r="S52" s="132"/>
      <c r="T52" s="132"/>
      <c r="U52" s="129"/>
    </row>
    <row r="53" spans="1:23" ht="31.5" x14ac:dyDescent="0.25">
      <c r="A53" s="170">
        <v>30</v>
      </c>
      <c r="B53" s="169" t="s">
        <v>112</v>
      </c>
      <c r="C53" s="166"/>
      <c r="D53" s="166"/>
      <c r="E53" s="170"/>
      <c r="F53" s="123">
        <v>1</v>
      </c>
      <c r="G53" s="123">
        <v>1.71</v>
      </c>
      <c r="H53" s="125">
        <v>17697</v>
      </c>
      <c r="I53" s="125">
        <f t="shared" si="27"/>
        <v>30261.87</v>
      </c>
      <c r="J53" s="126">
        <v>0</v>
      </c>
      <c r="K53" s="124">
        <f t="shared" si="28"/>
        <v>0</v>
      </c>
      <c r="L53" s="126">
        <v>0.1</v>
      </c>
      <c r="M53" s="125">
        <f t="shared" si="29"/>
        <v>3026.19</v>
      </c>
      <c r="N53" s="126">
        <v>0.3</v>
      </c>
      <c r="O53" s="124">
        <f t="shared" si="30"/>
        <v>5309.1</v>
      </c>
      <c r="P53" s="127">
        <f t="shared" si="31"/>
        <v>38597.160000000003</v>
      </c>
      <c r="Q53" s="128">
        <f t="shared" si="32"/>
        <v>463165.92000000004</v>
      </c>
      <c r="S53" s="132"/>
      <c r="T53" s="132"/>
      <c r="U53" s="129"/>
      <c r="W53" s="351"/>
    </row>
    <row r="54" spans="1:23" ht="31.5" x14ac:dyDescent="0.25">
      <c r="A54" s="170">
        <v>31</v>
      </c>
      <c r="B54" s="169" t="s">
        <v>113</v>
      </c>
      <c r="C54" s="166"/>
      <c r="D54" s="166"/>
      <c r="E54" s="170"/>
      <c r="F54" s="123">
        <v>1</v>
      </c>
      <c r="G54" s="123">
        <v>1.71</v>
      </c>
      <c r="H54" s="125">
        <v>17697</v>
      </c>
      <c r="I54" s="125">
        <f t="shared" si="27"/>
        <v>30261.87</v>
      </c>
      <c r="J54" s="126">
        <v>0</v>
      </c>
      <c r="K54" s="124">
        <f t="shared" si="28"/>
        <v>0</v>
      </c>
      <c r="L54" s="126">
        <v>0.1</v>
      </c>
      <c r="M54" s="125">
        <f t="shared" si="29"/>
        <v>3026.19</v>
      </c>
      <c r="N54" s="126">
        <v>0.3</v>
      </c>
      <c r="O54" s="124">
        <f t="shared" si="30"/>
        <v>5309.1</v>
      </c>
      <c r="P54" s="127">
        <f t="shared" si="31"/>
        <v>38597.160000000003</v>
      </c>
      <c r="Q54" s="128">
        <f t="shared" si="32"/>
        <v>463165.92000000004</v>
      </c>
      <c r="S54" s="132"/>
      <c r="T54" s="132"/>
      <c r="U54" s="129"/>
    </row>
    <row r="55" spans="1:23" ht="31.5" x14ac:dyDescent="0.25">
      <c r="A55" s="170">
        <v>32</v>
      </c>
      <c r="B55" s="169" t="s">
        <v>114</v>
      </c>
      <c r="C55" s="166"/>
      <c r="D55" s="166"/>
      <c r="E55" s="167"/>
      <c r="F55" s="123">
        <v>1</v>
      </c>
      <c r="G55" s="123">
        <v>1.71</v>
      </c>
      <c r="H55" s="125">
        <v>17697</v>
      </c>
      <c r="I55" s="125">
        <f t="shared" si="27"/>
        <v>30261.87</v>
      </c>
      <c r="J55" s="126">
        <v>0</v>
      </c>
      <c r="K55" s="124">
        <f t="shared" si="28"/>
        <v>0</v>
      </c>
      <c r="L55" s="126">
        <v>0.1</v>
      </c>
      <c r="M55" s="125">
        <f>1513.09+1513.09</f>
        <v>3026.18</v>
      </c>
      <c r="N55" s="126"/>
      <c r="O55" s="124">
        <f t="shared" si="30"/>
        <v>0</v>
      </c>
      <c r="P55" s="127">
        <f>16644.03+16644.03</f>
        <v>33288.06</v>
      </c>
      <c r="Q55" s="128">
        <f t="shared" si="32"/>
        <v>399456.72</v>
      </c>
      <c r="S55" s="129"/>
      <c r="T55" s="132"/>
      <c r="U55" s="129"/>
    </row>
    <row r="56" spans="1:23" x14ac:dyDescent="0.25">
      <c r="A56" s="170">
        <v>33</v>
      </c>
      <c r="B56" s="169" t="s">
        <v>115</v>
      </c>
      <c r="C56" s="131"/>
      <c r="D56" s="131"/>
      <c r="E56" s="123"/>
      <c r="F56" s="123">
        <v>1</v>
      </c>
      <c r="G56" s="123">
        <v>1.96</v>
      </c>
      <c r="H56" s="125">
        <v>17697</v>
      </c>
      <c r="I56" s="125">
        <f t="shared" si="27"/>
        <v>34686.120000000003</v>
      </c>
      <c r="J56" s="126">
        <v>0</v>
      </c>
      <c r="K56" s="124">
        <f t="shared" si="28"/>
        <v>0</v>
      </c>
      <c r="L56" s="126">
        <v>0.1</v>
      </c>
      <c r="M56" s="125">
        <f>1734.31+1734.31</f>
        <v>3468.62</v>
      </c>
      <c r="N56" s="126"/>
      <c r="O56" s="124">
        <f t="shared" si="30"/>
        <v>0</v>
      </c>
      <c r="P56" s="127">
        <f>19077.37+19077.37</f>
        <v>38154.74</v>
      </c>
      <c r="Q56" s="128">
        <f t="shared" si="32"/>
        <v>457856.88</v>
      </c>
      <c r="S56" s="132"/>
      <c r="T56" s="132"/>
      <c r="U56" s="129"/>
    </row>
    <row r="57" spans="1:23" x14ac:dyDescent="0.25">
      <c r="A57" s="170">
        <v>34</v>
      </c>
      <c r="B57" s="169" t="s">
        <v>117</v>
      </c>
      <c r="C57" s="131"/>
      <c r="D57" s="131"/>
      <c r="E57" s="123"/>
      <c r="F57" s="123">
        <v>0.5</v>
      </c>
      <c r="G57" s="123">
        <v>1.96</v>
      </c>
      <c r="H57" s="125">
        <v>17697</v>
      </c>
      <c r="I57" s="125">
        <f t="shared" si="27"/>
        <v>34686.120000000003</v>
      </c>
      <c r="J57" s="126">
        <v>0</v>
      </c>
      <c r="K57" s="124">
        <f t="shared" si="28"/>
        <v>0</v>
      </c>
      <c r="L57" s="126">
        <v>0.1</v>
      </c>
      <c r="M57" s="125">
        <f t="shared" si="29"/>
        <v>1734.31</v>
      </c>
      <c r="N57" s="126"/>
      <c r="O57" s="124">
        <f t="shared" si="30"/>
        <v>0</v>
      </c>
      <c r="P57" s="127">
        <f t="shared" si="31"/>
        <v>19077.37</v>
      </c>
      <c r="Q57" s="128">
        <f t="shared" si="32"/>
        <v>228928.44</v>
      </c>
      <c r="S57" s="132"/>
      <c r="T57" s="132"/>
      <c r="U57" s="129"/>
    </row>
    <row r="58" spans="1:23" x14ac:dyDescent="0.25">
      <c r="A58" s="170">
        <v>35</v>
      </c>
      <c r="B58" s="171" t="s">
        <v>119</v>
      </c>
      <c r="C58" s="166"/>
      <c r="D58" s="166"/>
      <c r="E58" s="170"/>
      <c r="F58" s="123">
        <v>3</v>
      </c>
      <c r="G58" s="123">
        <v>1.6</v>
      </c>
      <c r="H58" s="125">
        <v>17697</v>
      </c>
      <c r="I58" s="125">
        <f t="shared" si="27"/>
        <v>28315.200000000001</v>
      </c>
      <c r="J58" s="126">
        <v>0</v>
      </c>
      <c r="K58" s="124">
        <f t="shared" si="28"/>
        <v>0</v>
      </c>
      <c r="L58" s="126">
        <v>0.1</v>
      </c>
      <c r="M58" s="125">
        <f t="shared" si="29"/>
        <v>8494.56</v>
      </c>
      <c r="N58" s="126"/>
      <c r="O58" s="124">
        <v>25898.04</v>
      </c>
      <c r="P58" s="127">
        <v>119337.54</v>
      </c>
      <c r="Q58" s="128">
        <v>1432050.5</v>
      </c>
      <c r="S58" s="132"/>
      <c r="T58" s="132"/>
      <c r="U58" s="129"/>
    </row>
    <row r="59" spans="1:23" ht="16.5" thickBot="1" x14ac:dyDescent="0.3">
      <c r="A59" s="170">
        <v>36</v>
      </c>
      <c r="B59" s="172" t="s">
        <v>120</v>
      </c>
      <c r="C59" s="166"/>
      <c r="D59" s="166"/>
      <c r="E59" s="167"/>
      <c r="F59" s="123">
        <v>1</v>
      </c>
      <c r="G59" s="124">
        <v>1.71</v>
      </c>
      <c r="H59" s="125">
        <v>17697</v>
      </c>
      <c r="I59" s="125">
        <f t="shared" si="27"/>
        <v>30261.87</v>
      </c>
      <c r="J59" s="126">
        <v>0</v>
      </c>
      <c r="K59" s="124">
        <f t="shared" si="28"/>
        <v>0</v>
      </c>
      <c r="L59" s="126">
        <v>0.1</v>
      </c>
      <c r="M59" s="125">
        <f t="shared" si="29"/>
        <v>3026.19</v>
      </c>
      <c r="N59" s="126"/>
      <c r="O59" s="124">
        <f t="shared" si="30"/>
        <v>0</v>
      </c>
      <c r="P59" s="127">
        <f t="shared" si="31"/>
        <v>33288.06</v>
      </c>
      <c r="Q59" s="128">
        <f t="shared" si="32"/>
        <v>399456.72</v>
      </c>
      <c r="R59" s="130"/>
      <c r="S59" s="129"/>
      <c r="T59" s="132"/>
      <c r="U59" s="129"/>
    </row>
    <row r="60" spans="1:23" s="346" customFormat="1" ht="16.5" thickBot="1" x14ac:dyDescent="0.3">
      <c r="A60" s="520" t="s">
        <v>121</v>
      </c>
      <c r="B60" s="521"/>
      <c r="C60" s="173"/>
      <c r="D60" s="173"/>
      <c r="E60" s="174"/>
      <c r="F60" s="175">
        <f>SUM(F49:F59)</f>
        <v>11.5</v>
      </c>
      <c r="G60" s="176"/>
      <c r="H60" s="175"/>
      <c r="I60" s="349">
        <f>SUM(I49:I59)</f>
        <v>318546</v>
      </c>
      <c r="J60" s="175"/>
      <c r="K60" s="175">
        <f>SUM(K49:K59)</f>
        <v>0</v>
      </c>
      <c r="L60" s="175"/>
      <c r="M60" s="349">
        <f>SUM(M49:M59)</f>
        <v>36367.350000000006</v>
      </c>
      <c r="N60" s="177"/>
      <c r="O60" s="175">
        <f>SUM(O49:O59)</f>
        <v>47134.44</v>
      </c>
      <c r="P60" s="175">
        <v>447174.49</v>
      </c>
      <c r="Q60" s="350">
        <f>5366093.82+0.08</f>
        <v>5366093.9000000004</v>
      </c>
      <c r="S60" s="179">
        <f>'[1]РАСЧЁТЫ по действующей системе'!W121</f>
        <v>381923.53</v>
      </c>
      <c r="T60" s="180">
        <f>P60-S60</f>
        <v>65250.959999999963</v>
      </c>
      <c r="U60" s="146" t="b">
        <f>IF(P60&lt;&gt;S60,FALSE,0)</f>
        <v>0</v>
      </c>
    </row>
    <row r="61" spans="1:23" s="346" customFormat="1" ht="16.5" thickBot="1" x14ac:dyDescent="0.3">
      <c r="A61" s="522" t="s">
        <v>162</v>
      </c>
      <c r="B61" s="523"/>
      <c r="C61" s="344"/>
      <c r="D61" s="344"/>
      <c r="E61" s="182"/>
      <c r="F61" s="183">
        <f>F23+F48+F60</f>
        <v>49.41</v>
      </c>
      <c r="G61" s="182"/>
      <c r="H61" s="182"/>
      <c r="I61" s="183">
        <f>I23+I48+I60</f>
        <v>1860782.9300000002</v>
      </c>
      <c r="J61" s="183">
        <f>J23+J48+J60</f>
        <v>0</v>
      </c>
      <c r="K61" s="183">
        <f>K23+K48+K60</f>
        <v>0</v>
      </c>
      <c r="L61" s="183"/>
      <c r="M61" s="183">
        <f>M23+M48+M60</f>
        <v>256246.92</v>
      </c>
      <c r="N61" s="184"/>
      <c r="O61" s="183">
        <f>O23+O48+O60</f>
        <v>316819.01999999996</v>
      </c>
      <c r="P61" s="182">
        <f>P23+P48+P60</f>
        <v>3099618.17</v>
      </c>
      <c r="Q61" s="182">
        <f>Q23+Q48+Q60</f>
        <v>35270259.579999998</v>
      </c>
      <c r="R61" s="156"/>
      <c r="W61" s="352"/>
    </row>
    <row r="62" spans="1:23" x14ac:dyDescent="0.25">
      <c r="S62" s="515" t="s">
        <v>132</v>
      </c>
      <c r="T62" s="187" t="s">
        <v>163</v>
      </c>
      <c r="U62" s="187" t="s">
        <v>164</v>
      </c>
    </row>
    <row r="63" spans="1:23" x14ac:dyDescent="0.25">
      <c r="B63" s="102" t="s">
        <v>40</v>
      </c>
      <c r="C63" s="102"/>
      <c r="D63" s="102"/>
      <c r="E63" s="345"/>
      <c r="F63" s="345"/>
      <c r="G63" s="345"/>
      <c r="H63" s="144"/>
      <c r="I63" s="524" t="s">
        <v>271</v>
      </c>
      <c r="J63" s="524"/>
      <c r="K63" s="524"/>
      <c r="L63" s="524"/>
      <c r="M63" s="524"/>
      <c r="N63" s="524"/>
      <c r="O63" s="524"/>
      <c r="P63" s="189"/>
      <c r="S63" s="515"/>
      <c r="T63" s="190">
        <f>'[1]РАСЧЁТЫ по действующей системе'!AE128</f>
        <v>48.25</v>
      </c>
      <c r="U63" s="190">
        <f>'[1]РАСЧЁТЫ по действующей системе'!AF128</f>
        <v>2216102.59</v>
      </c>
    </row>
    <row r="64" spans="1:23" x14ac:dyDescent="0.25">
      <c r="F64" s="346" t="s">
        <v>128</v>
      </c>
      <c r="I64" s="525" t="s">
        <v>129</v>
      </c>
      <c r="J64" s="525"/>
      <c r="K64" s="525"/>
      <c r="L64" s="525"/>
      <c r="M64" s="525"/>
      <c r="N64" s="525"/>
      <c r="O64" s="525"/>
      <c r="P64" s="189"/>
      <c r="S64" s="191"/>
      <c r="T64" s="192"/>
      <c r="U64" s="192"/>
    </row>
    <row r="65" spans="1:21" x14ac:dyDescent="0.25">
      <c r="N65" s="193"/>
      <c r="P65" s="189"/>
      <c r="Q65" s="130"/>
      <c r="S65" s="132"/>
      <c r="T65" s="132"/>
      <c r="U65" s="132"/>
    </row>
    <row r="66" spans="1:21" x14ac:dyDescent="0.25">
      <c r="A66" s="132"/>
      <c r="P66" s="189"/>
      <c r="S66" s="515" t="s">
        <v>132</v>
      </c>
      <c r="T66" s="187" t="s">
        <v>166</v>
      </c>
      <c r="U66" s="187" t="s">
        <v>167</v>
      </c>
    </row>
    <row r="67" spans="1:21" x14ac:dyDescent="0.25">
      <c r="A67" s="132"/>
      <c r="N67" s="193"/>
      <c r="S67" s="515"/>
      <c r="T67" s="190">
        <f>F61</f>
        <v>49.41</v>
      </c>
      <c r="U67" s="190">
        <f>P61</f>
        <v>3099618.17</v>
      </c>
    </row>
    <row r="68" spans="1:21" s="195" customFormat="1" x14ac:dyDescent="0.25">
      <c r="A68" s="194"/>
      <c r="B68" s="516"/>
      <c r="C68" s="516"/>
      <c r="D68" s="516"/>
      <c r="E68" s="517"/>
      <c r="F68" s="517"/>
      <c r="G68" s="517"/>
      <c r="H68" s="517"/>
      <c r="I68" s="517"/>
      <c r="J68" s="517"/>
      <c r="K68" s="517"/>
      <c r="L68" s="517"/>
      <c r="M68" s="517"/>
      <c r="N68" s="517"/>
      <c r="O68" s="517"/>
      <c r="P68" s="517"/>
      <c r="Q68" s="517"/>
    </row>
    <row r="69" spans="1:21" x14ac:dyDescent="0.25">
      <c r="A69" s="132"/>
      <c r="S69" s="515" t="s">
        <v>134</v>
      </c>
      <c r="T69" s="187" t="s">
        <v>168</v>
      </c>
      <c r="U69" s="187" t="s">
        <v>168</v>
      </c>
    </row>
    <row r="70" spans="1:21" s="195" customFormat="1" x14ac:dyDescent="0.25">
      <c r="A70" s="194"/>
      <c r="B70" s="516"/>
      <c r="C70" s="516"/>
      <c r="D70" s="516"/>
      <c r="E70" s="517"/>
      <c r="F70" s="517"/>
      <c r="G70" s="517"/>
      <c r="H70" s="517"/>
      <c r="I70" s="517"/>
      <c r="J70" s="517"/>
      <c r="K70" s="517"/>
      <c r="L70" s="517"/>
      <c r="M70" s="517"/>
      <c r="N70" s="196"/>
      <c r="O70" s="196"/>
      <c r="P70" s="197"/>
      <c r="S70" s="515"/>
      <c r="T70" s="190">
        <f>T63-T67</f>
        <v>-1.1599999999999966</v>
      </c>
      <c r="U70" s="190">
        <f>U63-U67</f>
        <v>-883515.58000000007</v>
      </c>
    </row>
    <row r="71" spans="1:21" x14ac:dyDescent="0.25">
      <c r="A71" s="132"/>
    </row>
    <row r="72" spans="1:21" x14ac:dyDescent="0.25">
      <c r="M72" s="198"/>
    </row>
  </sheetData>
  <mergeCells count="44">
    <mergeCell ref="G5:Q5"/>
    <mergeCell ref="G1:Q1"/>
    <mergeCell ref="B2:E2"/>
    <mergeCell ref="G2:Q2"/>
    <mergeCell ref="G3:N3"/>
    <mergeCell ref="I4:Q4"/>
    <mergeCell ref="F6:Q6"/>
    <mergeCell ref="G7:Q7"/>
    <mergeCell ref="B9:Q9"/>
    <mergeCell ref="A10:Q10"/>
    <mergeCell ref="A11:Q11"/>
    <mergeCell ref="W12:AC12"/>
    <mergeCell ref="U13:V13"/>
    <mergeCell ref="W13:AC13"/>
    <mergeCell ref="A12:Q12"/>
    <mergeCell ref="Q14:Q15"/>
    <mergeCell ref="W14:AC14"/>
    <mergeCell ref="U15:AC15"/>
    <mergeCell ref="H14:H15"/>
    <mergeCell ref="I14:I15"/>
    <mergeCell ref="J14:K14"/>
    <mergeCell ref="L14:M14"/>
    <mergeCell ref="A14:A15"/>
    <mergeCell ref="B14:B15"/>
    <mergeCell ref="C14:C15"/>
    <mergeCell ref="D14:D15"/>
    <mergeCell ref="E14:E15"/>
    <mergeCell ref="F14:F15"/>
    <mergeCell ref="G14:G15"/>
    <mergeCell ref="T16:AC16"/>
    <mergeCell ref="N14:O14"/>
    <mergeCell ref="P14:P15"/>
    <mergeCell ref="U17:AC17"/>
    <mergeCell ref="S66:S67"/>
    <mergeCell ref="B68:Q68"/>
    <mergeCell ref="S69:S70"/>
    <mergeCell ref="B70:M70"/>
    <mergeCell ref="A48:B48"/>
    <mergeCell ref="A60:B60"/>
    <mergeCell ref="A61:B61"/>
    <mergeCell ref="S62:S63"/>
    <mergeCell ref="I63:O63"/>
    <mergeCell ref="I64:O64"/>
    <mergeCell ref="A23:B23"/>
  </mergeCells>
  <pageMargins left="0.70866141732283472" right="0.70866141732283472" top="0.74803149606299213" bottom="0.74803149606299213" header="0.31496062992125984" footer="0.31496062992125984"/>
  <pageSetup paperSize="9" scale="30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K98"/>
  <sheetViews>
    <sheetView zoomScaleNormal="100" workbookViewId="0">
      <selection activeCell="A2" sqref="A2:W3"/>
    </sheetView>
  </sheetViews>
  <sheetFormatPr defaultRowHeight="12.75" x14ac:dyDescent="0.25"/>
  <cols>
    <col min="1" max="1" width="3.7109375" style="333" customWidth="1"/>
    <col min="2" max="2" width="19.85546875" style="333" customWidth="1"/>
    <col min="3" max="3" width="21.140625" style="332" customWidth="1"/>
    <col min="4" max="4" width="11.140625" style="333" customWidth="1"/>
    <col min="5" max="5" width="12.28515625" style="333" customWidth="1"/>
    <col min="6" max="6" width="6.28515625" style="333" customWidth="1"/>
    <col min="7" max="7" width="4.42578125" style="333" hidden="1" customWidth="1"/>
    <col min="8" max="8" width="7" style="333" customWidth="1"/>
    <col min="9" max="9" width="6" style="333" customWidth="1"/>
    <col min="10" max="10" width="6.85546875" style="333" customWidth="1"/>
    <col min="11" max="11" width="5.140625" style="333" customWidth="1"/>
    <col min="12" max="12" width="10.7109375" style="333" customWidth="1"/>
    <col min="13" max="13" width="10.28515625" style="333" customWidth="1"/>
    <col min="14" max="14" width="6.28515625" style="332" customWidth="1"/>
    <col min="15" max="15" width="6.7109375" style="333" customWidth="1"/>
    <col min="16" max="16" width="13.85546875" style="333" customWidth="1"/>
    <col min="17" max="17" width="0.85546875" style="333" hidden="1" customWidth="1"/>
    <col min="18" max="18" width="0.42578125" style="333" hidden="1" customWidth="1"/>
    <col min="19" max="19" width="8.28515625" style="333" customWidth="1"/>
    <col min="20" max="20" width="13.7109375" style="333" customWidth="1"/>
    <col min="21" max="21" width="7.140625" style="333" customWidth="1"/>
    <col min="22" max="22" width="11.7109375" style="333" customWidth="1"/>
    <col min="23" max="23" width="14.5703125" style="333" customWidth="1"/>
    <col min="24" max="24" width="14.140625" style="333" customWidth="1"/>
    <col min="25" max="25" width="9.140625" style="333" customWidth="1"/>
    <col min="26" max="26" width="41.85546875" style="2" customWidth="1"/>
    <col min="27" max="27" width="9.28515625" style="2" bestFit="1" customWidth="1"/>
    <col min="28" max="28" width="14" style="2" customWidth="1"/>
    <col min="29" max="29" width="9.140625" style="2"/>
    <col min="30" max="30" width="41.42578125" style="2" customWidth="1"/>
    <col min="31" max="31" width="9.28515625" style="2" bestFit="1" customWidth="1"/>
    <col min="32" max="32" width="13.7109375" style="2" customWidth="1"/>
    <col min="33" max="33" width="9.140625" style="333"/>
    <col min="34" max="34" width="11.7109375" style="333" bestFit="1" customWidth="1"/>
    <col min="35" max="35" width="9.140625" style="333"/>
    <col min="36" max="41" width="9.140625" style="333" customWidth="1"/>
    <col min="42" max="42" width="11.28515625" style="333" bestFit="1" customWidth="1"/>
    <col min="43" max="16384" width="9.140625" style="333"/>
  </cols>
  <sheetData>
    <row r="1" spans="1:37" ht="9.75" customHeight="1" x14ac:dyDescent="0.25">
      <c r="U1" s="1"/>
    </row>
    <row r="2" spans="1:37" ht="16.5" customHeight="1" x14ac:dyDescent="0.25">
      <c r="A2" s="467" t="s">
        <v>268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37" ht="13.5" customHeight="1" x14ac:dyDescent="0.25">
      <c r="A3" s="468" t="s">
        <v>326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Z3" s="333"/>
      <c r="AA3" s="333"/>
      <c r="AB3" s="333"/>
      <c r="AC3" s="333"/>
      <c r="AD3" s="333"/>
      <c r="AE3" s="333"/>
      <c r="AF3" s="333"/>
    </row>
    <row r="4" spans="1:37" ht="13.5" customHeight="1" x14ac:dyDescent="0.25">
      <c r="N4" s="333"/>
    </row>
    <row r="5" spans="1:37" ht="13.5" customHeight="1" x14ac:dyDescent="0.25">
      <c r="N5" s="333"/>
      <c r="S5" s="469"/>
      <c r="T5" s="469"/>
      <c r="Z5" s="332"/>
      <c r="AA5" s="332"/>
      <c r="AB5" s="332"/>
      <c r="AC5" s="332"/>
      <c r="AD5" s="333"/>
      <c r="AE5" s="333"/>
      <c r="AF5" s="333"/>
    </row>
    <row r="6" spans="1:37" ht="13.5" customHeight="1" thickBot="1" x14ac:dyDescent="0.3">
      <c r="N6" s="333"/>
      <c r="AA6" s="332"/>
      <c r="AB6" s="332"/>
      <c r="AC6" s="332"/>
      <c r="AD6" s="333"/>
      <c r="AE6" s="333"/>
      <c r="AF6" s="333"/>
    </row>
    <row r="7" spans="1:37" s="332" customFormat="1" ht="41.25" customHeight="1" thickBot="1" x14ac:dyDescent="0.3">
      <c r="A7" s="472" t="s">
        <v>5</v>
      </c>
      <c r="B7" s="472" t="s">
        <v>6</v>
      </c>
      <c r="C7" s="472" t="s">
        <v>7</v>
      </c>
      <c r="D7" s="472" t="s">
        <v>8</v>
      </c>
      <c r="E7" s="472" t="s">
        <v>9</v>
      </c>
      <c r="F7" s="474" t="s">
        <v>10</v>
      </c>
      <c r="G7" s="474" t="s">
        <v>11</v>
      </c>
      <c r="H7" s="474" t="s">
        <v>12</v>
      </c>
      <c r="I7" s="476" t="s">
        <v>13</v>
      </c>
      <c r="J7" s="476" t="s">
        <v>14</v>
      </c>
      <c r="K7" s="476" t="s">
        <v>15</v>
      </c>
      <c r="L7" s="472" t="s">
        <v>16</v>
      </c>
      <c r="M7" s="472" t="s">
        <v>17</v>
      </c>
      <c r="N7" s="472" t="s">
        <v>10</v>
      </c>
      <c r="O7" s="472" t="s">
        <v>18</v>
      </c>
      <c r="P7" s="472" t="s">
        <v>19</v>
      </c>
      <c r="Q7" s="490" t="s">
        <v>20</v>
      </c>
      <c r="R7" s="492"/>
      <c r="S7" s="493" t="s">
        <v>21</v>
      </c>
      <c r="T7" s="494"/>
      <c r="U7" s="490" t="s">
        <v>22</v>
      </c>
      <c r="V7" s="491"/>
      <c r="W7" s="472" t="s">
        <v>23</v>
      </c>
      <c r="Z7" s="3"/>
      <c r="AA7" s="333"/>
      <c r="AB7" s="333"/>
      <c r="AC7" s="333"/>
    </row>
    <row r="8" spans="1:37" s="332" customFormat="1" ht="94.5" customHeight="1" thickBot="1" x14ac:dyDescent="0.3">
      <c r="A8" s="473"/>
      <c r="B8" s="473"/>
      <c r="C8" s="473"/>
      <c r="D8" s="473"/>
      <c r="E8" s="473"/>
      <c r="F8" s="475"/>
      <c r="G8" s="475"/>
      <c r="H8" s="475"/>
      <c r="I8" s="477"/>
      <c r="J8" s="477"/>
      <c r="K8" s="477"/>
      <c r="L8" s="473"/>
      <c r="M8" s="473"/>
      <c r="N8" s="473"/>
      <c r="O8" s="473"/>
      <c r="P8" s="473"/>
      <c r="Q8" s="41" t="s">
        <v>24</v>
      </c>
      <c r="R8" s="41" t="s">
        <v>25</v>
      </c>
      <c r="S8" s="41" t="s">
        <v>24</v>
      </c>
      <c r="T8" s="41" t="s">
        <v>25</v>
      </c>
      <c r="U8" s="41" t="s">
        <v>24</v>
      </c>
      <c r="V8" s="41" t="s">
        <v>25</v>
      </c>
      <c r="W8" s="473"/>
      <c r="Z8" s="2"/>
      <c r="AA8" s="333"/>
      <c r="AB8" s="333"/>
      <c r="AC8" s="333"/>
    </row>
    <row r="9" spans="1:37" s="6" customFormat="1" ht="15" customHeight="1" x14ac:dyDescent="0.25">
      <c r="A9" s="4">
        <v>1</v>
      </c>
      <c r="B9" s="42" t="s">
        <v>327</v>
      </c>
      <c r="C9" s="43" t="s">
        <v>27</v>
      </c>
      <c r="D9" s="4" t="s">
        <v>28</v>
      </c>
      <c r="E9" s="44" t="s">
        <v>269</v>
      </c>
      <c r="F9" s="45"/>
      <c r="G9" s="46"/>
      <c r="H9" s="34">
        <v>1</v>
      </c>
      <c r="I9" s="47" t="s">
        <v>30</v>
      </c>
      <c r="J9" s="47" t="s">
        <v>31</v>
      </c>
      <c r="K9" s="5">
        <v>3</v>
      </c>
      <c r="L9" s="48">
        <v>17697</v>
      </c>
      <c r="M9" s="48">
        <v>1</v>
      </c>
      <c r="N9" s="48"/>
      <c r="O9" s="4">
        <v>4.9400000000000004</v>
      </c>
      <c r="P9" s="48">
        <f>O9*L9</f>
        <v>87423.180000000008</v>
      </c>
      <c r="Q9" s="49">
        <f>IF(G9&gt;0,25%,0)</f>
        <v>0</v>
      </c>
      <c r="R9" s="50">
        <f t="shared" ref="R9:R14" si="0">ROUND((P9+T9)*Q9,2)</f>
        <v>0</v>
      </c>
      <c r="S9" s="51">
        <f t="shared" ref="S9:S14" si="1">IF(H9&gt;0,10%,0)</f>
        <v>0.1</v>
      </c>
      <c r="T9" s="50">
        <f t="shared" ref="T9:T14" si="2">ROUND(P9*S9*M9,2)</f>
        <v>8742.32</v>
      </c>
      <c r="U9" s="52">
        <v>0.3</v>
      </c>
      <c r="V9" s="53">
        <f t="shared" ref="V9" si="3">L9*U9*M9</f>
        <v>5309.0999999999995</v>
      </c>
      <c r="W9" s="53">
        <f t="shared" ref="W9:W52" si="4">ROUND(P9*M9+T9+R9+V9,2)</f>
        <v>101474.6</v>
      </c>
      <c r="X9" s="222">
        <f>W9/M9</f>
        <v>101474.6</v>
      </c>
      <c r="Z9" s="9"/>
      <c r="AJ9" s="10"/>
      <c r="AK9" s="11"/>
    </row>
    <row r="10" spans="1:37" s="6" customFormat="1" ht="15" hidden="1" customHeight="1" x14ac:dyDescent="0.25">
      <c r="A10" s="4">
        <v>2</v>
      </c>
      <c r="B10" s="42">
        <f>'[1]РАСЧЁТЫ по действующей сист16'!B10</f>
        <v>0</v>
      </c>
      <c r="C10" s="43" t="s">
        <v>32</v>
      </c>
      <c r="D10" s="4"/>
      <c r="E10" s="44"/>
      <c r="F10" s="44"/>
      <c r="G10" s="54"/>
      <c r="H10" s="54"/>
      <c r="I10" s="47"/>
      <c r="J10" s="4"/>
      <c r="K10" s="5">
        <v>3</v>
      </c>
      <c r="L10" s="48">
        <v>17697</v>
      </c>
      <c r="M10" s="48"/>
      <c r="N10" s="48"/>
      <c r="O10" s="48"/>
      <c r="P10" s="48">
        <f>O10*L10</f>
        <v>0</v>
      </c>
      <c r="Q10" s="49">
        <f t="shared" ref="Q10:Q53" si="5">IF(G10&gt;0,25%,0)</f>
        <v>0</v>
      </c>
      <c r="R10" s="50">
        <f t="shared" si="0"/>
        <v>0</v>
      </c>
      <c r="S10" s="51">
        <f t="shared" si="1"/>
        <v>0</v>
      </c>
      <c r="T10" s="50">
        <f t="shared" si="2"/>
        <v>0</v>
      </c>
      <c r="U10" s="55"/>
      <c r="V10" s="53"/>
      <c r="W10" s="53">
        <f t="shared" si="4"/>
        <v>0</v>
      </c>
      <c r="X10" s="222" t="e">
        <f t="shared" ref="X10:X69" si="6">W10/M10</f>
        <v>#DIV/0!</v>
      </c>
      <c r="Z10" s="9"/>
    </row>
    <row r="11" spans="1:37" s="6" customFormat="1" ht="15" hidden="1" customHeight="1" x14ac:dyDescent="0.25">
      <c r="A11" s="4">
        <v>3</v>
      </c>
      <c r="B11" s="42">
        <f>'[1]РАСЧЁТЫ по действующей сист16'!B11</f>
        <v>0</v>
      </c>
      <c r="C11" s="43" t="s">
        <v>33</v>
      </c>
      <c r="D11" s="4"/>
      <c r="E11" s="4"/>
      <c r="F11" s="4"/>
      <c r="G11" s="4"/>
      <c r="H11" s="4"/>
      <c r="I11" s="12"/>
      <c r="J11" s="12"/>
      <c r="K11" s="5">
        <v>3</v>
      </c>
      <c r="L11" s="48">
        <v>17697</v>
      </c>
      <c r="M11" s="48"/>
      <c r="N11" s="48"/>
      <c r="O11" s="4"/>
      <c r="P11" s="48">
        <f>L11*O11</f>
        <v>0</v>
      </c>
      <c r="Q11" s="49">
        <f t="shared" si="5"/>
        <v>0</v>
      </c>
      <c r="R11" s="50">
        <f t="shared" si="0"/>
        <v>0</v>
      </c>
      <c r="S11" s="51">
        <f t="shared" si="1"/>
        <v>0</v>
      </c>
      <c r="T11" s="50">
        <f t="shared" si="2"/>
        <v>0</v>
      </c>
      <c r="U11" s="55"/>
      <c r="V11" s="53"/>
      <c r="W11" s="53">
        <f t="shared" si="4"/>
        <v>0</v>
      </c>
      <c r="X11" s="222" t="e">
        <f t="shared" si="6"/>
        <v>#DIV/0!</v>
      </c>
      <c r="Z11" s="13"/>
    </row>
    <row r="12" spans="1:37" s="6" customFormat="1" ht="27" customHeight="1" x14ac:dyDescent="0.25">
      <c r="A12" s="4">
        <v>2</v>
      </c>
      <c r="B12" s="42" t="s">
        <v>301</v>
      </c>
      <c r="C12" s="43" t="s">
        <v>34</v>
      </c>
      <c r="D12" s="4" t="s">
        <v>28</v>
      </c>
      <c r="E12" s="360" t="s">
        <v>302</v>
      </c>
      <c r="F12" s="4"/>
      <c r="G12" s="4"/>
      <c r="H12" s="4">
        <v>1</v>
      </c>
      <c r="I12" s="4"/>
      <c r="J12" s="4" t="s">
        <v>37</v>
      </c>
      <c r="K12" s="5">
        <v>3</v>
      </c>
      <c r="L12" s="48">
        <v>17697</v>
      </c>
      <c r="M12" s="48">
        <v>1</v>
      </c>
      <c r="N12" s="48"/>
      <c r="O12" s="358">
        <v>2.58</v>
      </c>
      <c r="P12" s="48">
        <f>L12*O12</f>
        <v>45658.26</v>
      </c>
      <c r="Q12" s="49">
        <f t="shared" si="5"/>
        <v>0</v>
      </c>
      <c r="R12" s="50">
        <f t="shared" si="0"/>
        <v>0</v>
      </c>
      <c r="S12" s="51">
        <f t="shared" si="1"/>
        <v>0.1</v>
      </c>
      <c r="T12" s="50">
        <f t="shared" si="2"/>
        <v>4565.83</v>
      </c>
      <c r="U12" s="55"/>
      <c r="V12" s="53"/>
      <c r="W12" s="53">
        <f t="shared" si="4"/>
        <v>50224.09</v>
      </c>
      <c r="X12" s="222">
        <f t="shared" si="6"/>
        <v>50224.09</v>
      </c>
      <c r="Z12" s="9"/>
    </row>
    <row r="13" spans="1:37" s="6" customFormat="1" ht="15" hidden="1" customHeight="1" x14ac:dyDescent="0.25">
      <c r="A13" s="4">
        <v>5</v>
      </c>
      <c r="B13" s="42">
        <f>'[1]РАСЧЁТЫ по действующей сист16'!B13</f>
        <v>0</v>
      </c>
      <c r="C13" s="56" t="s">
        <v>38</v>
      </c>
      <c r="D13" s="4"/>
      <c r="E13" s="4"/>
      <c r="F13" s="4"/>
      <c r="G13" s="4"/>
      <c r="H13" s="4"/>
      <c r="I13" s="12"/>
      <c r="J13" s="12"/>
      <c r="K13" s="5"/>
      <c r="L13" s="48">
        <v>17697</v>
      </c>
      <c r="M13" s="48"/>
      <c r="N13" s="57"/>
      <c r="O13" s="358"/>
      <c r="P13" s="48">
        <f>L13*O13</f>
        <v>0</v>
      </c>
      <c r="Q13" s="49">
        <f t="shared" si="5"/>
        <v>0</v>
      </c>
      <c r="R13" s="50">
        <f t="shared" si="0"/>
        <v>0</v>
      </c>
      <c r="S13" s="51">
        <f t="shared" si="1"/>
        <v>0</v>
      </c>
      <c r="T13" s="50">
        <f t="shared" si="2"/>
        <v>0</v>
      </c>
      <c r="U13" s="55"/>
      <c r="V13" s="53"/>
      <c r="W13" s="53">
        <f t="shared" si="4"/>
        <v>0</v>
      </c>
      <c r="X13" s="222" t="e">
        <f t="shared" si="6"/>
        <v>#DIV/0!</v>
      </c>
      <c r="Z13" s="9"/>
    </row>
    <row r="14" spans="1:37" s="6" customFormat="1" ht="15" customHeight="1" thickBot="1" x14ac:dyDescent="0.3">
      <c r="A14" s="4">
        <v>3</v>
      </c>
      <c r="B14" s="42" t="s">
        <v>271</v>
      </c>
      <c r="C14" s="58" t="s">
        <v>40</v>
      </c>
      <c r="D14" s="59" t="s">
        <v>28</v>
      </c>
      <c r="E14" s="59" t="s">
        <v>270</v>
      </c>
      <c r="F14" s="59"/>
      <c r="G14" s="59"/>
      <c r="H14" s="59">
        <v>1</v>
      </c>
      <c r="I14" s="32"/>
      <c r="J14" s="32" t="s">
        <v>37</v>
      </c>
      <c r="K14" s="33">
        <v>2</v>
      </c>
      <c r="L14" s="60">
        <v>17697</v>
      </c>
      <c r="M14" s="60">
        <v>0.5</v>
      </c>
      <c r="N14" s="48"/>
      <c r="O14" s="359">
        <v>3.69</v>
      </c>
      <c r="P14" s="60">
        <f>L14*O14</f>
        <v>65301.93</v>
      </c>
      <c r="Q14" s="49">
        <f t="shared" si="5"/>
        <v>0</v>
      </c>
      <c r="R14" s="50">
        <f t="shared" si="0"/>
        <v>0</v>
      </c>
      <c r="S14" s="51">
        <f t="shared" si="1"/>
        <v>0.1</v>
      </c>
      <c r="T14" s="50">
        <f t="shared" si="2"/>
        <v>3265.1</v>
      </c>
      <c r="U14" s="61"/>
      <c r="V14" s="62"/>
      <c r="W14" s="53">
        <v>35916.06</v>
      </c>
      <c r="X14" s="222">
        <f t="shared" si="6"/>
        <v>71832.12</v>
      </c>
      <c r="Z14" s="9"/>
    </row>
    <row r="15" spans="1:37" ht="30" customHeight="1" thickBot="1" x14ac:dyDescent="0.3">
      <c r="A15" s="481" t="s">
        <v>42</v>
      </c>
      <c r="B15" s="482"/>
      <c r="C15" s="482"/>
      <c r="D15" s="482"/>
      <c r="E15" s="335"/>
      <c r="F15" s="335"/>
      <c r="G15" s="335"/>
      <c r="H15" s="335"/>
      <c r="I15" s="335"/>
      <c r="J15" s="335"/>
      <c r="K15" s="64"/>
      <c r="L15" s="335"/>
      <c r="M15" s="65">
        <f>SUM(M9:M14)</f>
        <v>2.5</v>
      </c>
      <c r="N15" s="65"/>
      <c r="O15" s="65"/>
      <c r="P15" s="65">
        <f>SUM(P9:P14)</f>
        <v>198383.37</v>
      </c>
      <c r="Q15" s="65"/>
      <c r="R15" s="66">
        <f>SUM(R9:R14)</f>
        <v>0</v>
      </c>
      <c r="S15" s="66"/>
      <c r="T15" s="66">
        <f>SUM(T9:T14)</f>
        <v>16573.25</v>
      </c>
      <c r="U15" s="66"/>
      <c r="V15" s="66">
        <f>SUM(V9:V14)</f>
        <v>5309.0999999999995</v>
      </c>
      <c r="W15" s="17">
        <f>SUM(W9:W14)</f>
        <v>187614.75</v>
      </c>
      <c r="Z15" s="3"/>
      <c r="AA15" s="333"/>
      <c r="AB15" s="1"/>
      <c r="AC15" s="333"/>
      <c r="AD15" s="333"/>
      <c r="AE15" s="333"/>
      <c r="AF15" s="333"/>
    </row>
    <row r="16" spans="1:37" s="6" customFormat="1" ht="14.25" customHeight="1" x14ac:dyDescent="0.25">
      <c r="A16" s="361">
        <v>4</v>
      </c>
      <c r="B16" s="362" t="s">
        <v>272</v>
      </c>
      <c r="C16" s="363" t="s">
        <v>319</v>
      </c>
      <c r="D16" s="361" t="s">
        <v>28</v>
      </c>
      <c r="E16" s="361" t="s">
        <v>311</v>
      </c>
      <c r="F16" s="361"/>
      <c r="G16" s="361"/>
      <c r="H16" s="361">
        <v>1</v>
      </c>
      <c r="I16" s="361" t="s">
        <v>48</v>
      </c>
      <c r="J16" s="361" t="s">
        <v>53</v>
      </c>
      <c r="K16" s="35">
        <v>2</v>
      </c>
      <c r="L16" s="364">
        <v>17697</v>
      </c>
      <c r="M16" s="365">
        <v>0.75</v>
      </c>
      <c r="N16" s="364">
        <v>1</v>
      </c>
      <c r="O16" s="364">
        <v>4.2300000000000004</v>
      </c>
      <c r="P16" s="364">
        <f>L16*O16</f>
        <v>74858.310000000012</v>
      </c>
      <c r="Q16" s="366">
        <f t="shared" si="5"/>
        <v>0</v>
      </c>
      <c r="R16" s="367">
        <f>ROUND((P16+T16)*Q16,2)</f>
        <v>0</v>
      </c>
      <c r="S16" s="368">
        <f>IF(H16&gt;0,10%,0)</f>
        <v>0.1</v>
      </c>
      <c r="T16" s="367">
        <f>ROUND(P16*S16*M16,2)</f>
        <v>5614.37</v>
      </c>
      <c r="U16" s="369">
        <v>0.4</v>
      </c>
      <c r="V16" s="370">
        <f t="shared" ref="V16:V53" si="7">L16*U16*M16</f>
        <v>5309.1</v>
      </c>
      <c r="W16" s="53">
        <f t="shared" ref="W16" si="8">ROUND(P16*M16+T16+R16+V16,2)</f>
        <v>67067.199999999997</v>
      </c>
      <c r="X16" s="222">
        <f t="shared" si="6"/>
        <v>89422.933333333334</v>
      </c>
      <c r="Z16" s="13"/>
    </row>
    <row r="17" spans="1:26" s="6" customFormat="1" ht="14.25" customHeight="1" x14ac:dyDescent="0.25">
      <c r="A17" s="361">
        <v>5</v>
      </c>
      <c r="B17" s="362" t="s">
        <v>108</v>
      </c>
      <c r="C17" s="363" t="s">
        <v>314</v>
      </c>
      <c r="D17" s="361" t="s">
        <v>28</v>
      </c>
      <c r="E17" s="361" t="s">
        <v>311</v>
      </c>
      <c r="F17" s="361"/>
      <c r="G17" s="361"/>
      <c r="H17" s="361">
        <v>1</v>
      </c>
      <c r="I17" s="361" t="s">
        <v>48</v>
      </c>
      <c r="J17" s="361" t="s">
        <v>53</v>
      </c>
      <c r="K17" s="35">
        <v>2</v>
      </c>
      <c r="L17" s="364">
        <v>17697</v>
      </c>
      <c r="M17" s="365">
        <v>8.3000000000000004E-2</v>
      </c>
      <c r="N17" s="364">
        <v>1</v>
      </c>
      <c r="O17" s="364">
        <v>4.2300000000000004</v>
      </c>
      <c r="P17" s="364">
        <v>5988.67</v>
      </c>
      <c r="Q17" s="366">
        <f t="shared" ref="Q17:Q18" si="9">IF(G17&gt;0,25%,0)</f>
        <v>0</v>
      </c>
      <c r="R17" s="367">
        <f t="shared" ref="R17:R18" si="10">ROUND((P17+T17)*Q17,2)</f>
        <v>0</v>
      </c>
      <c r="S17" s="368">
        <f t="shared" ref="S17:S18" si="11">IF(H17&gt;0,10%,0)</f>
        <v>0.1</v>
      </c>
      <c r="T17" s="367">
        <v>598.87</v>
      </c>
      <c r="U17" s="369">
        <v>0.4</v>
      </c>
      <c r="V17" s="370">
        <v>566.29999999999995</v>
      </c>
      <c r="W17" s="370">
        <f>P17+T17+V17</f>
        <v>7153.84</v>
      </c>
      <c r="X17" s="222"/>
      <c r="Z17" s="13"/>
    </row>
    <row r="18" spans="1:26" s="6" customFormat="1" ht="14.25" customHeight="1" x14ac:dyDescent="0.25">
      <c r="A18" s="361">
        <v>6</v>
      </c>
      <c r="B18" s="362" t="s">
        <v>108</v>
      </c>
      <c r="C18" s="363" t="s">
        <v>315</v>
      </c>
      <c r="D18" s="361" t="s">
        <v>28</v>
      </c>
      <c r="E18" s="361" t="s">
        <v>311</v>
      </c>
      <c r="F18" s="361"/>
      <c r="G18" s="361"/>
      <c r="H18" s="361">
        <v>1</v>
      </c>
      <c r="I18" s="361" t="s">
        <v>48</v>
      </c>
      <c r="J18" s="361" t="s">
        <v>53</v>
      </c>
      <c r="K18" s="35">
        <v>2</v>
      </c>
      <c r="L18" s="364">
        <v>17697</v>
      </c>
      <c r="M18" s="365">
        <v>0.08</v>
      </c>
      <c r="N18" s="364">
        <v>1</v>
      </c>
      <c r="O18" s="364">
        <v>4.2300000000000004</v>
      </c>
      <c r="P18" s="364">
        <v>5988.67</v>
      </c>
      <c r="Q18" s="366">
        <f t="shared" si="9"/>
        <v>0</v>
      </c>
      <c r="R18" s="367">
        <f t="shared" si="10"/>
        <v>0</v>
      </c>
      <c r="S18" s="368">
        <f t="shared" si="11"/>
        <v>0.1</v>
      </c>
      <c r="T18" s="367">
        <v>598.87</v>
      </c>
      <c r="U18" s="369">
        <v>0.4</v>
      </c>
      <c r="V18" s="370">
        <v>566.29999999999995</v>
      </c>
      <c r="W18" s="370">
        <f>P18+T18+V18</f>
        <v>7153.84</v>
      </c>
      <c r="X18" s="222"/>
      <c r="Z18" s="13"/>
    </row>
    <row r="19" spans="1:26" s="6" customFormat="1" ht="15" x14ac:dyDescent="0.25">
      <c r="A19" s="361">
        <v>7</v>
      </c>
      <c r="B19" s="362" t="s">
        <v>276</v>
      </c>
      <c r="C19" s="371" t="s">
        <v>51</v>
      </c>
      <c r="D19" s="361" t="s">
        <v>28</v>
      </c>
      <c r="E19" s="361" t="s">
        <v>41</v>
      </c>
      <c r="F19" s="361"/>
      <c r="G19" s="361"/>
      <c r="H19" s="361">
        <v>1</v>
      </c>
      <c r="I19" s="361" t="s">
        <v>48</v>
      </c>
      <c r="J19" s="361" t="s">
        <v>53</v>
      </c>
      <c r="K19" s="35">
        <v>4</v>
      </c>
      <c r="L19" s="364">
        <v>17697</v>
      </c>
      <c r="M19" s="365">
        <v>1</v>
      </c>
      <c r="N19" s="364"/>
      <c r="O19" s="364">
        <v>3.08</v>
      </c>
      <c r="P19" s="364">
        <f t="shared" ref="P19:P53" si="12">L19*O19</f>
        <v>54506.76</v>
      </c>
      <c r="Q19" s="366">
        <f t="shared" si="5"/>
        <v>0</v>
      </c>
      <c r="R19" s="367">
        <f t="shared" ref="R19:R53" si="13">ROUND((P19+T19)*Q19,2)</f>
        <v>0</v>
      </c>
      <c r="S19" s="368">
        <f t="shared" ref="S19:S53" si="14">IF(H19&gt;0,10%,0)</f>
        <v>0.1</v>
      </c>
      <c r="T19" s="367">
        <f t="shared" ref="T19:T53" si="15">ROUND(P19*S19*M19,2)</f>
        <v>5450.68</v>
      </c>
      <c r="U19" s="369">
        <v>0.4</v>
      </c>
      <c r="V19" s="370">
        <f t="shared" si="7"/>
        <v>7078.8</v>
      </c>
      <c r="W19" s="367">
        <f t="shared" si="4"/>
        <v>67036.240000000005</v>
      </c>
      <c r="X19" s="222">
        <f t="shared" si="6"/>
        <v>67036.240000000005</v>
      </c>
      <c r="Z19" s="13"/>
    </row>
    <row r="20" spans="1:26" s="6" customFormat="1" ht="15" x14ac:dyDescent="0.25">
      <c r="A20" s="361">
        <v>8</v>
      </c>
      <c r="B20" s="362" t="str">
        <f>'[1]РАСЧЁТЫ по действующей сист16'!B19</f>
        <v>Зикен Н.</v>
      </c>
      <c r="C20" s="371" t="s">
        <v>321</v>
      </c>
      <c r="D20" s="361" t="s">
        <v>28</v>
      </c>
      <c r="E20" s="361" t="s">
        <v>277</v>
      </c>
      <c r="F20" s="361"/>
      <c r="G20" s="361"/>
      <c r="H20" s="361">
        <v>1</v>
      </c>
      <c r="I20" s="361" t="s">
        <v>48</v>
      </c>
      <c r="J20" s="361" t="s">
        <v>53</v>
      </c>
      <c r="K20" s="35">
        <v>4</v>
      </c>
      <c r="L20" s="364">
        <v>17697</v>
      </c>
      <c r="M20" s="365">
        <v>1</v>
      </c>
      <c r="N20" s="364"/>
      <c r="O20" s="364">
        <v>3.14</v>
      </c>
      <c r="P20" s="364">
        <f t="shared" si="12"/>
        <v>55568.58</v>
      </c>
      <c r="Q20" s="366">
        <f t="shared" si="5"/>
        <v>0</v>
      </c>
      <c r="R20" s="367">
        <f t="shared" si="13"/>
        <v>0</v>
      </c>
      <c r="S20" s="368">
        <f t="shared" si="14"/>
        <v>0.1</v>
      </c>
      <c r="T20" s="367">
        <f t="shared" si="15"/>
        <v>5556.86</v>
      </c>
      <c r="U20" s="369">
        <v>0.4</v>
      </c>
      <c r="V20" s="370">
        <f t="shared" si="7"/>
        <v>7078.8</v>
      </c>
      <c r="W20" s="367">
        <f t="shared" si="4"/>
        <v>68204.240000000005</v>
      </c>
      <c r="X20" s="222">
        <f t="shared" si="6"/>
        <v>68204.240000000005</v>
      </c>
      <c r="Z20" s="13"/>
    </row>
    <row r="21" spans="1:26" s="6" customFormat="1" ht="15" x14ac:dyDescent="0.25">
      <c r="A21" s="361">
        <v>9</v>
      </c>
      <c r="B21" s="362" t="s">
        <v>328</v>
      </c>
      <c r="C21" s="371" t="s">
        <v>321</v>
      </c>
      <c r="D21" s="361" t="s">
        <v>28</v>
      </c>
      <c r="E21" s="361">
        <v>1</v>
      </c>
      <c r="F21" s="361"/>
      <c r="G21" s="361"/>
      <c r="H21" s="361">
        <v>1</v>
      </c>
      <c r="I21" s="361" t="s">
        <v>48</v>
      </c>
      <c r="J21" s="361" t="s">
        <v>53</v>
      </c>
      <c r="K21" s="35">
        <v>4</v>
      </c>
      <c r="L21" s="364">
        <v>17697</v>
      </c>
      <c r="M21" s="365">
        <v>1</v>
      </c>
      <c r="N21" s="364"/>
      <c r="O21" s="364">
        <v>3.14</v>
      </c>
      <c r="P21" s="364">
        <f t="shared" si="12"/>
        <v>55568.58</v>
      </c>
      <c r="Q21" s="366">
        <f t="shared" si="5"/>
        <v>0</v>
      </c>
      <c r="R21" s="367">
        <f t="shared" si="13"/>
        <v>0</v>
      </c>
      <c r="S21" s="368">
        <f t="shared" si="14"/>
        <v>0.1</v>
      </c>
      <c r="T21" s="367">
        <f t="shared" si="15"/>
        <v>5556.86</v>
      </c>
      <c r="U21" s="369">
        <v>0.4</v>
      </c>
      <c r="V21" s="370">
        <f t="shared" si="7"/>
        <v>7078.8</v>
      </c>
      <c r="W21" s="367">
        <f t="shared" si="4"/>
        <v>68204.240000000005</v>
      </c>
      <c r="X21" s="222">
        <f t="shared" si="6"/>
        <v>68204.240000000005</v>
      </c>
      <c r="Z21" s="13"/>
    </row>
    <row r="22" spans="1:26" s="6" customFormat="1" ht="15" x14ac:dyDescent="0.25">
      <c r="A22" s="361">
        <v>10</v>
      </c>
      <c r="B22" s="362" t="s">
        <v>273</v>
      </c>
      <c r="C22" s="371" t="s">
        <v>321</v>
      </c>
      <c r="D22" s="361" t="s">
        <v>28</v>
      </c>
      <c r="E22" s="361" t="s">
        <v>351</v>
      </c>
      <c r="F22" s="361"/>
      <c r="G22" s="361"/>
      <c r="H22" s="361">
        <v>1</v>
      </c>
      <c r="I22" s="361" t="s">
        <v>48</v>
      </c>
      <c r="J22" s="361" t="s">
        <v>53</v>
      </c>
      <c r="K22" s="35">
        <v>4</v>
      </c>
      <c r="L22" s="364">
        <v>17697</v>
      </c>
      <c r="M22" s="365">
        <v>1</v>
      </c>
      <c r="N22" s="364">
        <v>2</v>
      </c>
      <c r="O22" s="364">
        <v>3.92</v>
      </c>
      <c r="P22" s="364">
        <f t="shared" si="12"/>
        <v>69372.240000000005</v>
      </c>
      <c r="Q22" s="366">
        <f t="shared" si="5"/>
        <v>0</v>
      </c>
      <c r="R22" s="367">
        <f t="shared" si="13"/>
        <v>0</v>
      </c>
      <c r="S22" s="368">
        <f t="shared" si="14"/>
        <v>0.1</v>
      </c>
      <c r="T22" s="367">
        <f t="shared" si="15"/>
        <v>6937.22</v>
      </c>
      <c r="U22" s="369">
        <v>0.4</v>
      </c>
      <c r="V22" s="370">
        <f t="shared" si="7"/>
        <v>7078.8</v>
      </c>
      <c r="W22" s="367">
        <f t="shared" si="4"/>
        <v>83388.259999999995</v>
      </c>
      <c r="X22" s="222">
        <f t="shared" si="6"/>
        <v>83388.259999999995</v>
      </c>
      <c r="Z22" s="13"/>
    </row>
    <row r="23" spans="1:26" s="6" customFormat="1" ht="15" x14ac:dyDescent="0.25">
      <c r="A23" s="361">
        <v>11</v>
      </c>
      <c r="B23" s="362" t="s">
        <v>329</v>
      </c>
      <c r="C23" s="371" t="s">
        <v>321</v>
      </c>
      <c r="D23" s="361" t="s">
        <v>28</v>
      </c>
      <c r="E23" s="361" t="s">
        <v>274</v>
      </c>
      <c r="F23" s="361"/>
      <c r="G23" s="361"/>
      <c r="H23" s="361">
        <v>1</v>
      </c>
      <c r="I23" s="361" t="s">
        <v>48</v>
      </c>
      <c r="J23" s="361" t="s">
        <v>53</v>
      </c>
      <c r="K23" s="35">
        <v>4</v>
      </c>
      <c r="L23" s="364">
        <v>17697</v>
      </c>
      <c r="M23" s="365">
        <v>1</v>
      </c>
      <c r="N23" s="364"/>
      <c r="O23" s="364">
        <v>3.2</v>
      </c>
      <c r="P23" s="364">
        <f t="shared" si="12"/>
        <v>56630.400000000001</v>
      </c>
      <c r="Q23" s="366">
        <f t="shared" si="5"/>
        <v>0</v>
      </c>
      <c r="R23" s="367">
        <f t="shared" si="13"/>
        <v>0</v>
      </c>
      <c r="S23" s="368">
        <f t="shared" si="14"/>
        <v>0.1</v>
      </c>
      <c r="T23" s="367">
        <f t="shared" si="15"/>
        <v>5663.04</v>
      </c>
      <c r="U23" s="369">
        <v>0.4</v>
      </c>
      <c r="V23" s="370">
        <f t="shared" si="7"/>
        <v>7078.8</v>
      </c>
      <c r="W23" s="370">
        <f t="shared" si="4"/>
        <v>69372.240000000005</v>
      </c>
      <c r="X23" s="222">
        <f t="shared" si="6"/>
        <v>69372.240000000005</v>
      </c>
      <c r="Z23" s="13"/>
    </row>
    <row r="24" spans="1:26" s="6" customFormat="1" ht="15" x14ac:dyDescent="0.25">
      <c r="A24" s="361">
        <v>12</v>
      </c>
      <c r="B24" s="362" t="s">
        <v>275</v>
      </c>
      <c r="C24" s="371" t="s">
        <v>321</v>
      </c>
      <c r="D24" s="361" t="s">
        <v>28</v>
      </c>
      <c r="E24" s="360" t="s">
        <v>348</v>
      </c>
      <c r="F24" s="360"/>
      <c r="G24" s="360"/>
      <c r="H24" s="361">
        <v>1</v>
      </c>
      <c r="I24" s="361" t="s">
        <v>48</v>
      </c>
      <c r="J24" s="361" t="s">
        <v>53</v>
      </c>
      <c r="K24" s="35">
        <v>4</v>
      </c>
      <c r="L24" s="364">
        <v>17697</v>
      </c>
      <c r="M24" s="365">
        <v>1</v>
      </c>
      <c r="N24" s="364"/>
      <c r="O24" s="364">
        <v>3.72</v>
      </c>
      <c r="P24" s="364">
        <f t="shared" si="12"/>
        <v>65832.84</v>
      </c>
      <c r="Q24" s="366">
        <f t="shared" si="5"/>
        <v>0</v>
      </c>
      <c r="R24" s="367">
        <f t="shared" si="13"/>
        <v>0</v>
      </c>
      <c r="S24" s="368">
        <f t="shared" si="14"/>
        <v>0.1</v>
      </c>
      <c r="T24" s="367">
        <f t="shared" si="15"/>
        <v>6583.28</v>
      </c>
      <c r="U24" s="369">
        <v>0.4</v>
      </c>
      <c r="V24" s="370">
        <f t="shared" si="7"/>
        <v>7078.8</v>
      </c>
      <c r="W24" s="370">
        <f t="shared" si="4"/>
        <v>79494.92</v>
      </c>
      <c r="X24" s="222">
        <f t="shared" si="6"/>
        <v>79494.92</v>
      </c>
      <c r="Z24" s="9"/>
    </row>
    <row r="25" spans="1:26" s="6" customFormat="1" ht="15.75" x14ac:dyDescent="0.25">
      <c r="A25" s="361">
        <v>13</v>
      </c>
      <c r="B25" s="362" t="s">
        <v>278</v>
      </c>
      <c r="C25" s="371" t="s">
        <v>58</v>
      </c>
      <c r="D25" s="360" t="s">
        <v>28</v>
      </c>
      <c r="E25" s="361" t="s">
        <v>349</v>
      </c>
      <c r="F25" s="360"/>
      <c r="G25" s="360"/>
      <c r="H25" s="360">
        <v>1</v>
      </c>
      <c r="I25" s="361" t="s">
        <v>48</v>
      </c>
      <c r="J25" s="372" t="s">
        <v>53</v>
      </c>
      <c r="K25" s="5">
        <v>4</v>
      </c>
      <c r="L25" s="358">
        <v>17697</v>
      </c>
      <c r="M25" s="373">
        <v>0.5</v>
      </c>
      <c r="N25" s="358"/>
      <c r="O25" s="360">
        <v>3.58</v>
      </c>
      <c r="P25" s="364">
        <f t="shared" si="12"/>
        <v>63355.26</v>
      </c>
      <c r="Q25" s="366">
        <f t="shared" si="5"/>
        <v>0</v>
      </c>
      <c r="R25" s="367">
        <f t="shared" si="13"/>
        <v>0</v>
      </c>
      <c r="S25" s="368">
        <f t="shared" si="14"/>
        <v>0.1</v>
      </c>
      <c r="T25" s="367">
        <f t="shared" si="15"/>
        <v>3167.76</v>
      </c>
      <c r="U25" s="369">
        <v>0.4</v>
      </c>
      <c r="V25" s="370">
        <f t="shared" si="7"/>
        <v>3539.4</v>
      </c>
      <c r="W25" s="370">
        <f t="shared" si="4"/>
        <v>38384.79</v>
      </c>
      <c r="X25" s="222">
        <f t="shared" si="6"/>
        <v>76769.58</v>
      </c>
      <c r="Z25" s="9"/>
    </row>
    <row r="26" spans="1:26" s="6" customFormat="1" ht="15" x14ac:dyDescent="0.25">
      <c r="A26" s="361">
        <v>14</v>
      </c>
      <c r="B26" s="362" t="s">
        <v>330</v>
      </c>
      <c r="C26" s="371" t="s">
        <v>60</v>
      </c>
      <c r="D26" s="360" t="s">
        <v>28</v>
      </c>
      <c r="E26" s="360" t="s">
        <v>279</v>
      </c>
      <c r="F26" s="360"/>
      <c r="G26" s="360"/>
      <c r="H26" s="360">
        <v>1</v>
      </c>
      <c r="I26" s="361" t="s">
        <v>48</v>
      </c>
      <c r="J26" s="360" t="s">
        <v>53</v>
      </c>
      <c r="K26" s="5">
        <v>4</v>
      </c>
      <c r="L26" s="358">
        <v>17697</v>
      </c>
      <c r="M26" s="373">
        <v>1</v>
      </c>
      <c r="N26" s="358"/>
      <c r="O26" s="360">
        <v>3.14</v>
      </c>
      <c r="P26" s="364">
        <f t="shared" si="12"/>
        <v>55568.58</v>
      </c>
      <c r="Q26" s="366">
        <f t="shared" si="5"/>
        <v>0</v>
      </c>
      <c r="R26" s="367">
        <f t="shared" si="13"/>
        <v>0</v>
      </c>
      <c r="S26" s="368">
        <f t="shared" si="14"/>
        <v>0.1</v>
      </c>
      <c r="T26" s="367">
        <f t="shared" si="15"/>
        <v>5556.86</v>
      </c>
      <c r="U26" s="369">
        <v>0.4</v>
      </c>
      <c r="V26" s="370">
        <f t="shared" si="7"/>
        <v>7078.8</v>
      </c>
      <c r="W26" s="370">
        <f t="shared" si="4"/>
        <v>68204.240000000005</v>
      </c>
      <c r="X26" s="222">
        <f t="shared" si="6"/>
        <v>68204.240000000005</v>
      </c>
      <c r="Z26" s="9"/>
    </row>
    <row r="27" spans="1:26" s="6" customFormat="1" ht="15" x14ac:dyDescent="0.25">
      <c r="A27" s="361">
        <v>15</v>
      </c>
      <c r="B27" s="362" t="s">
        <v>220</v>
      </c>
      <c r="C27" s="371" t="s">
        <v>60</v>
      </c>
      <c r="D27" s="360" t="s">
        <v>28</v>
      </c>
      <c r="E27" s="360" t="s">
        <v>350</v>
      </c>
      <c r="F27" s="360"/>
      <c r="G27" s="360"/>
      <c r="H27" s="360">
        <v>1</v>
      </c>
      <c r="I27" s="361" t="s">
        <v>48</v>
      </c>
      <c r="J27" s="360" t="s">
        <v>53</v>
      </c>
      <c r="K27" s="5">
        <v>4</v>
      </c>
      <c r="L27" s="358">
        <v>17697</v>
      </c>
      <c r="M27" s="373">
        <v>1</v>
      </c>
      <c r="N27" s="358"/>
      <c r="O27" s="360">
        <v>3.44</v>
      </c>
      <c r="P27" s="364">
        <f t="shared" si="12"/>
        <v>60877.68</v>
      </c>
      <c r="Q27" s="366">
        <f t="shared" si="5"/>
        <v>0</v>
      </c>
      <c r="R27" s="367">
        <f t="shared" si="13"/>
        <v>0</v>
      </c>
      <c r="S27" s="368">
        <f t="shared" si="14"/>
        <v>0.1</v>
      </c>
      <c r="T27" s="367">
        <f t="shared" si="15"/>
        <v>6087.77</v>
      </c>
      <c r="U27" s="369">
        <v>0.4</v>
      </c>
      <c r="V27" s="370">
        <f t="shared" si="7"/>
        <v>7078.8</v>
      </c>
      <c r="W27" s="370">
        <f t="shared" si="4"/>
        <v>74044.25</v>
      </c>
      <c r="X27" s="222">
        <f t="shared" si="6"/>
        <v>74044.25</v>
      </c>
      <c r="Z27" s="9"/>
    </row>
    <row r="28" spans="1:26" s="6" customFormat="1" ht="15" x14ac:dyDescent="0.25">
      <c r="A28" s="361">
        <v>16</v>
      </c>
      <c r="B28" s="374" t="s">
        <v>272</v>
      </c>
      <c r="C28" s="371" t="s">
        <v>63</v>
      </c>
      <c r="D28" s="360" t="s">
        <v>28</v>
      </c>
      <c r="E28" s="361" t="s">
        <v>41</v>
      </c>
      <c r="F28" s="375"/>
      <c r="G28" s="375"/>
      <c r="H28" s="375" t="s">
        <v>65</v>
      </c>
      <c r="I28" s="376" t="s">
        <v>48</v>
      </c>
      <c r="J28" s="376" t="s">
        <v>56</v>
      </c>
      <c r="K28" s="5">
        <v>3</v>
      </c>
      <c r="L28" s="358">
        <v>17697</v>
      </c>
      <c r="M28" s="373">
        <v>0.5</v>
      </c>
      <c r="N28" s="358"/>
      <c r="O28" s="358">
        <v>3.18</v>
      </c>
      <c r="P28" s="358">
        <f t="shared" si="12"/>
        <v>56276.460000000006</v>
      </c>
      <c r="Q28" s="366">
        <f t="shared" si="5"/>
        <v>0</v>
      </c>
      <c r="R28" s="367">
        <f t="shared" si="13"/>
        <v>0</v>
      </c>
      <c r="S28" s="368">
        <f t="shared" si="14"/>
        <v>0.1</v>
      </c>
      <c r="T28" s="367">
        <f t="shared" si="15"/>
        <v>2813.82</v>
      </c>
      <c r="U28" s="369"/>
      <c r="V28" s="370">
        <f t="shared" si="7"/>
        <v>0</v>
      </c>
      <c r="W28" s="370">
        <f t="shared" si="4"/>
        <v>30952.05</v>
      </c>
      <c r="X28" s="222">
        <f t="shared" si="6"/>
        <v>61904.1</v>
      </c>
      <c r="Z28" s="9"/>
    </row>
    <row r="29" spans="1:26" s="6" customFormat="1" ht="15" x14ac:dyDescent="0.25">
      <c r="A29" s="361">
        <v>17</v>
      </c>
      <c r="B29" s="362" t="str">
        <f>'[1]РАСЧЁТЫ по действующей сист16'!B31</f>
        <v>Жанарбаева А.Е.</v>
      </c>
      <c r="C29" s="371" t="s">
        <v>66</v>
      </c>
      <c r="D29" s="360" t="s">
        <v>28</v>
      </c>
      <c r="E29" s="361" t="s">
        <v>280</v>
      </c>
      <c r="F29" s="375"/>
      <c r="G29" s="375"/>
      <c r="H29" s="375" t="s">
        <v>65</v>
      </c>
      <c r="I29" s="376" t="s">
        <v>48</v>
      </c>
      <c r="J29" s="376" t="s">
        <v>53</v>
      </c>
      <c r="K29" s="5">
        <v>4</v>
      </c>
      <c r="L29" s="358">
        <v>17697</v>
      </c>
      <c r="M29" s="373">
        <v>0.25</v>
      </c>
      <c r="N29" s="358"/>
      <c r="O29" s="358">
        <v>3.65</v>
      </c>
      <c r="P29" s="358">
        <f t="shared" si="12"/>
        <v>64594.049999999996</v>
      </c>
      <c r="Q29" s="366">
        <f t="shared" si="5"/>
        <v>0</v>
      </c>
      <c r="R29" s="367">
        <f t="shared" si="13"/>
        <v>0</v>
      </c>
      <c r="S29" s="368">
        <f t="shared" si="14"/>
        <v>0.1</v>
      </c>
      <c r="T29" s="367">
        <f t="shared" si="15"/>
        <v>1614.85</v>
      </c>
      <c r="U29" s="369">
        <v>0.4</v>
      </c>
      <c r="V29" s="370">
        <f t="shared" si="7"/>
        <v>1769.7</v>
      </c>
      <c r="W29" s="370">
        <f t="shared" si="4"/>
        <v>19533.060000000001</v>
      </c>
      <c r="X29" s="222">
        <f t="shared" si="6"/>
        <v>78132.240000000005</v>
      </c>
      <c r="Z29" s="9"/>
    </row>
    <row r="30" spans="1:26" s="6" customFormat="1" ht="15" x14ac:dyDescent="0.25">
      <c r="A30" s="361">
        <v>18</v>
      </c>
      <c r="B30" s="362" t="str">
        <f>'[1]РАСЧЁТЫ по действующей сист16'!B32</f>
        <v>Арынова  П.Т.</v>
      </c>
      <c r="C30" s="371" t="s">
        <v>68</v>
      </c>
      <c r="D30" s="360" t="s">
        <v>28</v>
      </c>
      <c r="E30" s="360" t="s">
        <v>188</v>
      </c>
      <c r="F30" s="375"/>
      <c r="G30" s="375"/>
      <c r="H30" s="375" t="s">
        <v>65</v>
      </c>
      <c r="I30" s="376" t="s">
        <v>48</v>
      </c>
      <c r="J30" s="376" t="s">
        <v>53</v>
      </c>
      <c r="K30" s="5">
        <v>4</v>
      </c>
      <c r="L30" s="358">
        <v>17697</v>
      </c>
      <c r="M30" s="373">
        <v>0.25</v>
      </c>
      <c r="N30" s="358"/>
      <c r="O30" s="358">
        <v>3.65</v>
      </c>
      <c r="P30" s="358">
        <f t="shared" si="12"/>
        <v>64594.049999999996</v>
      </c>
      <c r="Q30" s="366">
        <f t="shared" si="5"/>
        <v>0</v>
      </c>
      <c r="R30" s="367">
        <f t="shared" si="13"/>
        <v>0</v>
      </c>
      <c r="S30" s="368">
        <f t="shared" si="14"/>
        <v>0.1</v>
      </c>
      <c r="T30" s="367">
        <f t="shared" si="15"/>
        <v>1614.85</v>
      </c>
      <c r="U30" s="369">
        <v>0.4</v>
      </c>
      <c r="V30" s="370">
        <f t="shared" si="7"/>
        <v>1769.7</v>
      </c>
      <c r="W30" s="370">
        <f t="shared" si="4"/>
        <v>19533.060000000001</v>
      </c>
      <c r="X30" s="222">
        <f t="shared" si="6"/>
        <v>78132.240000000005</v>
      </c>
      <c r="Z30" s="9"/>
    </row>
    <row r="31" spans="1:26" s="6" customFormat="1" ht="15" x14ac:dyDescent="0.25">
      <c r="A31" s="361">
        <v>19</v>
      </c>
      <c r="B31" s="377" t="s">
        <v>331</v>
      </c>
      <c r="C31" s="371" t="s">
        <v>71</v>
      </c>
      <c r="D31" s="360" t="s">
        <v>35</v>
      </c>
      <c r="E31" s="360" t="s">
        <v>281</v>
      </c>
      <c r="F31" s="375"/>
      <c r="G31" s="375"/>
      <c r="H31" s="375" t="s">
        <v>65</v>
      </c>
      <c r="I31" s="376" t="s">
        <v>48</v>
      </c>
      <c r="J31" s="376" t="s">
        <v>49</v>
      </c>
      <c r="K31" s="5">
        <v>3</v>
      </c>
      <c r="L31" s="358">
        <v>17697</v>
      </c>
      <c r="M31" s="373">
        <v>1</v>
      </c>
      <c r="N31" s="378"/>
      <c r="O31" s="358">
        <v>2.68</v>
      </c>
      <c r="P31" s="358">
        <f t="shared" si="12"/>
        <v>47427.960000000006</v>
      </c>
      <c r="Q31" s="366">
        <f t="shared" si="5"/>
        <v>0</v>
      </c>
      <c r="R31" s="367">
        <f t="shared" si="13"/>
        <v>0</v>
      </c>
      <c r="S31" s="368">
        <f t="shared" si="14"/>
        <v>0.1</v>
      </c>
      <c r="T31" s="367">
        <f t="shared" si="15"/>
        <v>4742.8</v>
      </c>
      <c r="U31" s="369">
        <v>0.4</v>
      </c>
      <c r="V31" s="370">
        <f t="shared" si="7"/>
        <v>7078.8</v>
      </c>
      <c r="W31" s="370">
        <f t="shared" si="4"/>
        <v>59249.56</v>
      </c>
      <c r="X31" s="222">
        <f t="shared" si="6"/>
        <v>59249.56</v>
      </c>
      <c r="Z31" s="9"/>
    </row>
    <row r="32" spans="1:26" s="6" customFormat="1" ht="15" x14ac:dyDescent="0.25">
      <c r="A32" s="361">
        <v>20</v>
      </c>
      <c r="B32" s="362" t="str">
        <f>'[1]РАСЧЁТЫ по действующей сист16'!B34</f>
        <v>Мруалина Т.</v>
      </c>
      <c r="C32" s="371" t="s">
        <v>72</v>
      </c>
      <c r="D32" s="360" t="s">
        <v>35</v>
      </c>
      <c r="E32" s="360" t="s">
        <v>188</v>
      </c>
      <c r="F32" s="375"/>
      <c r="G32" s="375"/>
      <c r="H32" s="375" t="s">
        <v>65</v>
      </c>
      <c r="I32" s="376" t="s">
        <v>48</v>
      </c>
      <c r="J32" s="376" t="s">
        <v>49</v>
      </c>
      <c r="K32" s="5">
        <v>4</v>
      </c>
      <c r="L32" s="358">
        <v>17697</v>
      </c>
      <c r="M32" s="373">
        <v>0.5</v>
      </c>
      <c r="N32" s="358"/>
      <c r="O32" s="358">
        <v>2.68</v>
      </c>
      <c r="P32" s="358">
        <f t="shared" si="12"/>
        <v>47427.960000000006</v>
      </c>
      <c r="Q32" s="366">
        <f t="shared" si="5"/>
        <v>0</v>
      </c>
      <c r="R32" s="367">
        <f t="shared" si="13"/>
        <v>0</v>
      </c>
      <c r="S32" s="368">
        <f t="shared" si="14"/>
        <v>0.1</v>
      </c>
      <c r="T32" s="367">
        <f t="shared" si="15"/>
        <v>2371.4</v>
      </c>
      <c r="U32" s="369">
        <v>0.4</v>
      </c>
      <c r="V32" s="370">
        <f t="shared" si="7"/>
        <v>3539.4</v>
      </c>
      <c r="W32" s="370">
        <v>29524.77</v>
      </c>
      <c r="X32" s="222">
        <f t="shared" si="6"/>
        <v>59049.54</v>
      </c>
      <c r="Z32" s="9"/>
    </row>
    <row r="33" spans="1:26" s="6" customFormat="1" ht="15" x14ac:dyDescent="0.25">
      <c r="A33" s="361">
        <v>21</v>
      </c>
      <c r="B33" s="362" t="s">
        <v>282</v>
      </c>
      <c r="C33" s="371" t="s">
        <v>73</v>
      </c>
      <c r="D33" s="360" t="s">
        <v>28</v>
      </c>
      <c r="E33" s="360" t="s">
        <v>41</v>
      </c>
      <c r="F33" s="360"/>
      <c r="G33" s="360"/>
      <c r="H33" s="360">
        <v>1</v>
      </c>
      <c r="I33" s="376"/>
      <c r="J33" s="376" t="s">
        <v>37</v>
      </c>
      <c r="K33" s="5">
        <v>2</v>
      </c>
      <c r="L33" s="358">
        <v>17697</v>
      </c>
      <c r="M33" s="373">
        <v>1</v>
      </c>
      <c r="N33" s="375"/>
      <c r="O33" s="358">
        <v>3.08</v>
      </c>
      <c r="P33" s="358">
        <f t="shared" si="12"/>
        <v>54506.76</v>
      </c>
      <c r="Q33" s="366">
        <f t="shared" si="5"/>
        <v>0</v>
      </c>
      <c r="R33" s="367">
        <f t="shared" si="13"/>
        <v>0</v>
      </c>
      <c r="S33" s="368">
        <f t="shared" si="14"/>
        <v>0.1</v>
      </c>
      <c r="T33" s="367">
        <f t="shared" si="15"/>
        <v>5450.68</v>
      </c>
      <c r="U33" s="369">
        <v>0</v>
      </c>
      <c r="V33" s="370">
        <f t="shared" si="7"/>
        <v>0</v>
      </c>
      <c r="W33" s="370">
        <f t="shared" si="4"/>
        <v>59957.440000000002</v>
      </c>
      <c r="X33" s="222">
        <f t="shared" si="6"/>
        <v>59957.440000000002</v>
      </c>
      <c r="Z33" s="9"/>
    </row>
    <row r="34" spans="1:26" s="6" customFormat="1" ht="15" x14ac:dyDescent="0.25">
      <c r="A34" s="361">
        <v>22</v>
      </c>
      <c r="B34" s="362" t="s">
        <v>108</v>
      </c>
      <c r="C34" s="371" t="s">
        <v>317</v>
      </c>
      <c r="D34" s="360" t="s">
        <v>28</v>
      </c>
      <c r="E34" s="360" t="s">
        <v>41</v>
      </c>
      <c r="F34" s="360"/>
      <c r="G34" s="360"/>
      <c r="H34" s="360">
        <v>1</v>
      </c>
      <c r="I34" s="376"/>
      <c r="J34" s="376" t="s">
        <v>94</v>
      </c>
      <c r="K34" s="5" t="s">
        <v>94</v>
      </c>
      <c r="L34" s="358">
        <v>17697</v>
      </c>
      <c r="M34" s="373">
        <v>0.5</v>
      </c>
      <c r="N34" s="375"/>
      <c r="O34" s="358">
        <v>1.64</v>
      </c>
      <c r="P34" s="358">
        <f t="shared" ref="P34" si="16">L34*O34</f>
        <v>29023.079999999998</v>
      </c>
      <c r="Q34" s="366">
        <f t="shared" ref="Q34" si="17">IF(G34&gt;0,25%,0)</f>
        <v>0</v>
      </c>
      <c r="R34" s="367">
        <f t="shared" ref="R34" si="18">ROUND((P34+T34)*Q34,2)</f>
        <v>0</v>
      </c>
      <c r="S34" s="368">
        <f t="shared" ref="S34" si="19">IF(H34&gt;0,10%,0)</f>
        <v>0.1</v>
      </c>
      <c r="T34" s="367">
        <f t="shared" ref="T34" si="20">ROUND(P34*S34*M34,2)</f>
        <v>1451.15</v>
      </c>
      <c r="U34" s="369">
        <v>0</v>
      </c>
      <c r="V34" s="370">
        <f t="shared" ref="V34" si="21">L34*U34*M34</f>
        <v>0</v>
      </c>
      <c r="W34" s="370">
        <f t="shared" ref="W34" si="22">ROUND(P34*M34+T34+R34+V34,2)</f>
        <v>15962.69</v>
      </c>
      <c r="X34" s="222"/>
      <c r="Z34" s="9"/>
    </row>
    <row r="35" spans="1:26" s="6" customFormat="1" ht="30" x14ac:dyDescent="0.25">
      <c r="A35" s="361">
        <v>23</v>
      </c>
      <c r="B35" s="362" t="s">
        <v>332</v>
      </c>
      <c r="C35" s="371" t="s">
        <v>320</v>
      </c>
      <c r="D35" s="360" t="s">
        <v>28</v>
      </c>
      <c r="E35" s="360" t="s">
        <v>283</v>
      </c>
      <c r="F35" s="360"/>
      <c r="G35" s="360"/>
      <c r="H35" s="360">
        <v>1</v>
      </c>
      <c r="I35" s="376" t="s">
        <v>48</v>
      </c>
      <c r="J35" s="376" t="s">
        <v>56</v>
      </c>
      <c r="K35" s="5">
        <v>3</v>
      </c>
      <c r="L35" s="358">
        <v>17697</v>
      </c>
      <c r="M35" s="373">
        <v>1.25</v>
      </c>
      <c r="N35" s="379">
        <v>2</v>
      </c>
      <c r="O35" s="358">
        <v>3.39</v>
      </c>
      <c r="P35" s="358">
        <f t="shared" si="12"/>
        <v>59992.83</v>
      </c>
      <c r="Q35" s="366">
        <f t="shared" si="5"/>
        <v>0</v>
      </c>
      <c r="R35" s="367">
        <f t="shared" si="13"/>
        <v>0</v>
      </c>
      <c r="S35" s="368">
        <f t="shared" si="14"/>
        <v>0.1</v>
      </c>
      <c r="T35" s="367">
        <f t="shared" si="15"/>
        <v>7499.1</v>
      </c>
      <c r="U35" s="369">
        <v>0.4</v>
      </c>
      <c r="V35" s="370">
        <f t="shared" si="7"/>
        <v>8848.5</v>
      </c>
      <c r="W35" s="370">
        <f t="shared" si="4"/>
        <v>91338.64</v>
      </c>
      <c r="X35" s="222">
        <f t="shared" si="6"/>
        <v>73070.911999999997</v>
      </c>
      <c r="Z35" s="9"/>
    </row>
    <row r="36" spans="1:26" s="6" customFormat="1" ht="15" x14ac:dyDescent="0.25">
      <c r="A36" s="361">
        <v>24</v>
      </c>
      <c r="B36" s="362" t="s">
        <v>77</v>
      </c>
      <c r="C36" s="371" t="s">
        <v>78</v>
      </c>
      <c r="D36" s="360" t="s">
        <v>28</v>
      </c>
      <c r="E36" s="361" t="s">
        <v>284</v>
      </c>
      <c r="F36" s="360"/>
      <c r="G36" s="360"/>
      <c r="H36" s="360">
        <v>1</v>
      </c>
      <c r="I36" s="376" t="s">
        <v>48</v>
      </c>
      <c r="J36" s="376" t="s">
        <v>56</v>
      </c>
      <c r="K36" s="5">
        <v>4</v>
      </c>
      <c r="L36" s="358">
        <v>17697</v>
      </c>
      <c r="M36" s="373">
        <v>1.25</v>
      </c>
      <c r="N36" s="375" t="s">
        <v>316</v>
      </c>
      <c r="O36" s="358">
        <v>3.45</v>
      </c>
      <c r="P36" s="358">
        <f t="shared" si="12"/>
        <v>61054.65</v>
      </c>
      <c r="Q36" s="366">
        <f t="shared" si="5"/>
        <v>0</v>
      </c>
      <c r="R36" s="367">
        <f t="shared" si="13"/>
        <v>0</v>
      </c>
      <c r="S36" s="368">
        <f t="shared" si="14"/>
        <v>0.1</v>
      </c>
      <c r="T36" s="367">
        <f t="shared" si="15"/>
        <v>7631.83</v>
      </c>
      <c r="U36" s="369">
        <v>0.4</v>
      </c>
      <c r="V36" s="370">
        <f t="shared" si="7"/>
        <v>8848.5</v>
      </c>
      <c r="W36" s="370">
        <f t="shared" si="4"/>
        <v>92798.64</v>
      </c>
      <c r="X36" s="222">
        <f t="shared" si="6"/>
        <v>74238.911999999997</v>
      </c>
      <c r="Z36" s="13"/>
    </row>
    <row r="37" spans="1:26" s="6" customFormat="1" ht="15" x14ac:dyDescent="0.25">
      <c r="A37" s="361">
        <v>25</v>
      </c>
      <c r="B37" s="362" t="s">
        <v>285</v>
      </c>
      <c r="C37" s="371" t="s">
        <v>78</v>
      </c>
      <c r="D37" s="360" t="s">
        <v>35</v>
      </c>
      <c r="E37" s="360" t="s">
        <v>353</v>
      </c>
      <c r="F37" s="375"/>
      <c r="G37" s="375"/>
      <c r="H37" s="375" t="s">
        <v>65</v>
      </c>
      <c r="I37" s="376" t="s">
        <v>48</v>
      </c>
      <c r="J37" s="376" t="s">
        <v>56</v>
      </c>
      <c r="K37" s="5">
        <v>4</v>
      </c>
      <c r="L37" s="358">
        <v>17697</v>
      </c>
      <c r="M37" s="373">
        <v>1.25</v>
      </c>
      <c r="N37" s="5">
        <v>2</v>
      </c>
      <c r="O37" s="358">
        <v>3.09</v>
      </c>
      <c r="P37" s="358">
        <f t="shared" si="12"/>
        <v>54683.729999999996</v>
      </c>
      <c r="Q37" s="366">
        <f t="shared" si="5"/>
        <v>0</v>
      </c>
      <c r="R37" s="367">
        <f t="shared" si="13"/>
        <v>0</v>
      </c>
      <c r="S37" s="368">
        <f t="shared" si="14"/>
        <v>0.1</v>
      </c>
      <c r="T37" s="367">
        <f t="shared" si="15"/>
        <v>6835.47</v>
      </c>
      <c r="U37" s="369">
        <v>0.4</v>
      </c>
      <c r="V37" s="370">
        <f t="shared" si="7"/>
        <v>8848.5</v>
      </c>
      <c r="W37" s="370">
        <f t="shared" si="4"/>
        <v>84038.63</v>
      </c>
      <c r="X37" s="222">
        <f t="shared" si="6"/>
        <v>67230.90400000001</v>
      </c>
      <c r="Z37" s="13"/>
    </row>
    <row r="38" spans="1:26" s="6" customFormat="1" ht="15" x14ac:dyDescent="0.25">
      <c r="A38" s="361">
        <v>26</v>
      </c>
      <c r="B38" s="362" t="s">
        <v>285</v>
      </c>
      <c r="C38" s="371" t="s">
        <v>78</v>
      </c>
      <c r="D38" s="360" t="s">
        <v>35</v>
      </c>
      <c r="E38" s="360" t="s">
        <v>354</v>
      </c>
      <c r="F38" s="375"/>
      <c r="G38" s="375"/>
      <c r="H38" s="375" t="s">
        <v>65</v>
      </c>
      <c r="I38" s="376" t="s">
        <v>48</v>
      </c>
      <c r="J38" s="376" t="s">
        <v>56</v>
      </c>
      <c r="K38" s="5">
        <v>4</v>
      </c>
      <c r="L38" s="358">
        <v>17697</v>
      </c>
      <c r="M38" s="373">
        <v>1.25</v>
      </c>
      <c r="N38" s="5">
        <v>1</v>
      </c>
      <c r="O38" s="358">
        <v>3.26</v>
      </c>
      <c r="P38" s="358">
        <f t="shared" ref="P38" si="23">L38*O38</f>
        <v>57692.219999999994</v>
      </c>
      <c r="Q38" s="366">
        <f t="shared" ref="Q38" si="24">IF(G38&gt;0,25%,0)</f>
        <v>0</v>
      </c>
      <c r="R38" s="367">
        <f t="shared" ref="R38" si="25">ROUND((P38+T38)*Q38,2)</f>
        <v>0</v>
      </c>
      <c r="S38" s="368">
        <f t="shared" ref="S38" si="26">IF(H38&gt;0,10%,0)</f>
        <v>0.1</v>
      </c>
      <c r="T38" s="367">
        <f t="shared" ref="T38" si="27">ROUND(P38*S38*M38,2)</f>
        <v>7211.53</v>
      </c>
      <c r="U38" s="369">
        <v>0.4</v>
      </c>
      <c r="V38" s="370">
        <f t="shared" ref="V38" si="28">L38*U38*M38</f>
        <v>8848.5</v>
      </c>
      <c r="W38" s="370">
        <f t="shared" ref="W38" si="29">ROUND(P38*M38+T38+R38+V38,2)</f>
        <v>88175.31</v>
      </c>
      <c r="X38" s="222">
        <f t="shared" ref="X38" si="30">W38/M38</f>
        <v>70540.247999999992</v>
      </c>
      <c r="Z38" s="13"/>
    </row>
    <row r="39" spans="1:26" s="6" customFormat="1" ht="15" x14ac:dyDescent="0.25">
      <c r="A39" s="361">
        <v>26</v>
      </c>
      <c r="B39" s="362" t="s">
        <v>333</v>
      </c>
      <c r="C39" s="371" t="s">
        <v>78</v>
      </c>
      <c r="D39" s="360" t="s">
        <v>35</v>
      </c>
      <c r="E39" s="360" t="s">
        <v>286</v>
      </c>
      <c r="F39" s="375"/>
      <c r="G39" s="375"/>
      <c r="H39" s="375" t="s">
        <v>65</v>
      </c>
      <c r="I39" s="376" t="s">
        <v>48</v>
      </c>
      <c r="J39" s="376" t="s">
        <v>49</v>
      </c>
      <c r="K39" s="5">
        <v>2</v>
      </c>
      <c r="L39" s="358">
        <v>17697</v>
      </c>
      <c r="M39" s="373">
        <v>1.25</v>
      </c>
      <c r="N39" s="5">
        <v>1</v>
      </c>
      <c r="O39" s="358">
        <v>3.41</v>
      </c>
      <c r="P39" s="358">
        <f t="shared" si="12"/>
        <v>60346.770000000004</v>
      </c>
      <c r="Q39" s="366">
        <f t="shared" si="5"/>
        <v>0</v>
      </c>
      <c r="R39" s="367">
        <f t="shared" si="13"/>
        <v>0</v>
      </c>
      <c r="S39" s="368">
        <f t="shared" si="14"/>
        <v>0.1</v>
      </c>
      <c r="T39" s="367">
        <f t="shared" si="15"/>
        <v>7543.35</v>
      </c>
      <c r="U39" s="369">
        <v>0.4</v>
      </c>
      <c r="V39" s="370">
        <f t="shared" si="7"/>
        <v>8848.5</v>
      </c>
      <c r="W39" s="370">
        <f t="shared" si="4"/>
        <v>91825.31</v>
      </c>
      <c r="X39" s="222">
        <f t="shared" si="6"/>
        <v>73460.247999999992</v>
      </c>
      <c r="Z39" s="13"/>
    </row>
    <row r="40" spans="1:26" s="6" customFormat="1" ht="15" x14ac:dyDescent="0.25">
      <c r="A40" s="361">
        <v>27</v>
      </c>
      <c r="B40" s="362" t="s">
        <v>334</v>
      </c>
      <c r="C40" s="371" t="s">
        <v>78</v>
      </c>
      <c r="D40" s="360" t="s">
        <v>28</v>
      </c>
      <c r="E40" s="360" t="s">
        <v>287</v>
      </c>
      <c r="F40" s="375"/>
      <c r="G40" s="375"/>
      <c r="H40" s="375" t="s">
        <v>65</v>
      </c>
      <c r="I40" s="376" t="s">
        <v>48</v>
      </c>
      <c r="J40" s="376" t="s">
        <v>56</v>
      </c>
      <c r="K40" s="5">
        <v>4</v>
      </c>
      <c r="L40" s="358">
        <v>17697</v>
      </c>
      <c r="M40" s="373">
        <v>1.25</v>
      </c>
      <c r="N40" s="5"/>
      <c r="O40" s="358">
        <v>3.04</v>
      </c>
      <c r="P40" s="358">
        <f t="shared" si="12"/>
        <v>53798.879999999997</v>
      </c>
      <c r="Q40" s="366">
        <f t="shared" si="5"/>
        <v>0</v>
      </c>
      <c r="R40" s="367">
        <f t="shared" si="13"/>
        <v>0</v>
      </c>
      <c r="S40" s="368">
        <f t="shared" si="14"/>
        <v>0.1</v>
      </c>
      <c r="T40" s="367">
        <f t="shared" si="15"/>
        <v>6724.86</v>
      </c>
      <c r="U40" s="369">
        <v>0.4</v>
      </c>
      <c r="V40" s="370">
        <f t="shared" si="7"/>
        <v>8848.5</v>
      </c>
      <c r="W40" s="370">
        <f t="shared" si="4"/>
        <v>82821.960000000006</v>
      </c>
      <c r="X40" s="222">
        <f t="shared" si="6"/>
        <v>66257.567999999999</v>
      </c>
      <c r="Z40" s="13"/>
    </row>
    <row r="41" spans="1:26" s="6" customFormat="1" ht="15" x14ac:dyDescent="0.25">
      <c r="A41" s="361">
        <v>28</v>
      </c>
      <c r="B41" s="362" t="s">
        <v>335</v>
      </c>
      <c r="C41" s="371" t="s">
        <v>78</v>
      </c>
      <c r="D41" s="376" t="s">
        <v>28</v>
      </c>
      <c r="E41" s="376" t="s">
        <v>288</v>
      </c>
      <c r="F41" s="375"/>
      <c r="G41" s="375"/>
      <c r="H41" s="375" t="s">
        <v>65</v>
      </c>
      <c r="I41" s="376" t="s">
        <v>48</v>
      </c>
      <c r="J41" s="376" t="s">
        <v>56</v>
      </c>
      <c r="K41" s="5">
        <v>3</v>
      </c>
      <c r="L41" s="358">
        <v>17697</v>
      </c>
      <c r="M41" s="373">
        <v>1.25</v>
      </c>
      <c r="N41" s="5">
        <v>2</v>
      </c>
      <c r="O41" s="358">
        <v>3.51</v>
      </c>
      <c r="P41" s="358">
        <f t="shared" si="12"/>
        <v>62116.469999999994</v>
      </c>
      <c r="Q41" s="366">
        <f t="shared" si="5"/>
        <v>0</v>
      </c>
      <c r="R41" s="367">
        <f t="shared" si="13"/>
        <v>0</v>
      </c>
      <c r="S41" s="368">
        <f t="shared" si="14"/>
        <v>0.1</v>
      </c>
      <c r="T41" s="367">
        <f t="shared" si="15"/>
        <v>7764.56</v>
      </c>
      <c r="U41" s="369">
        <v>0.4</v>
      </c>
      <c r="V41" s="370">
        <f t="shared" si="7"/>
        <v>8848.5</v>
      </c>
      <c r="W41" s="370">
        <f t="shared" si="4"/>
        <v>94258.65</v>
      </c>
      <c r="X41" s="222">
        <f t="shared" si="6"/>
        <v>75406.92</v>
      </c>
      <c r="Z41" s="13"/>
    </row>
    <row r="42" spans="1:26" s="6" customFormat="1" ht="15" x14ac:dyDescent="0.25">
      <c r="A42" s="361">
        <v>29</v>
      </c>
      <c r="B42" s="362" t="s">
        <v>336</v>
      </c>
      <c r="C42" s="371" t="s">
        <v>78</v>
      </c>
      <c r="D42" s="376" t="s">
        <v>28</v>
      </c>
      <c r="E42" s="376" t="s">
        <v>289</v>
      </c>
      <c r="F42" s="375"/>
      <c r="G42" s="375"/>
      <c r="H42" s="375" t="s">
        <v>65</v>
      </c>
      <c r="I42" s="376" t="s">
        <v>48</v>
      </c>
      <c r="J42" s="376" t="s">
        <v>56</v>
      </c>
      <c r="K42" s="5">
        <v>3</v>
      </c>
      <c r="L42" s="358">
        <v>17697</v>
      </c>
      <c r="M42" s="373">
        <v>1.25</v>
      </c>
      <c r="N42" s="5">
        <v>1</v>
      </c>
      <c r="O42" s="358">
        <v>3.8</v>
      </c>
      <c r="P42" s="358">
        <f t="shared" si="12"/>
        <v>67248.599999999991</v>
      </c>
      <c r="Q42" s="366">
        <f t="shared" si="5"/>
        <v>0</v>
      </c>
      <c r="R42" s="367">
        <f t="shared" si="13"/>
        <v>0</v>
      </c>
      <c r="S42" s="368">
        <f t="shared" si="14"/>
        <v>0.1</v>
      </c>
      <c r="T42" s="367">
        <f t="shared" si="15"/>
        <v>8406.08</v>
      </c>
      <c r="U42" s="369">
        <v>0.4</v>
      </c>
      <c r="V42" s="370">
        <f t="shared" si="7"/>
        <v>8848.5</v>
      </c>
      <c r="W42" s="370">
        <v>101315.32</v>
      </c>
      <c r="X42" s="222">
        <f t="shared" si="6"/>
        <v>81052.256000000008</v>
      </c>
      <c r="Z42" s="13"/>
    </row>
    <row r="43" spans="1:26" s="6" customFormat="1" ht="15" x14ac:dyDescent="0.25">
      <c r="A43" s="361">
        <v>30</v>
      </c>
      <c r="B43" s="362" t="s">
        <v>87</v>
      </c>
      <c r="C43" s="371" t="s">
        <v>78</v>
      </c>
      <c r="D43" s="376" t="s">
        <v>28</v>
      </c>
      <c r="E43" s="375" t="s">
        <v>290</v>
      </c>
      <c r="F43" s="375"/>
      <c r="G43" s="375"/>
      <c r="H43" s="375" t="s">
        <v>65</v>
      </c>
      <c r="I43" s="376" t="s">
        <v>48</v>
      </c>
      <c r="J43" s="376" t="s">
        <v>56</v>
      </c>
      <c r="K43" s="5">
        <v>2</v>
      </c>
      <c r="L43" s="358">
        <v>17697</v>
      </c>
      <c r="M43" s="373">
        <v>1.25</v>
      </c>
      <c r="N43" s="5" t="s">
        <v>101</v>
      </c>
      <c r="O43" s="358">
        <v>4.26</v>
      </c>
      <c r="P43" s="358">
        <f t="shared" si="12"/>
        <v>75389.22</v>
      </c>
      <c r="Q43" s="366">
        <f t="shared" si="5"/>
        <v>0</v>
      </c>
      <c r="R43" s="367">
        <f t="shared" si="13"/>
        <v>0</v>
      </c>
      <c r="S43" s="368">
        <f t="shared" si="14"/>
        <v>0.1</v>
      </c>
      <c r="T43" s="367">
        <f t="shared" si="15"/>
        <v>9423.65</v>
      </c>
      <c r="U43" s="369">
        <v>0.4</v>
      </c>
      <c r="V43" s="370">
        <f t="shared" si="7"/>
        <v>8848.5</v>
      </c>
      <c r="W43" s="370">
        <f t="shared" si="4"/>
        <v>112508.68</v>
      </c>
      <c r="X43" s="222">
        <f t="shared" si="6"/>
        <v>90006.943999999989</v>
      </c>
      <c r="Z43" s="13"/>
    </row>
    <row r="44" spans="1:26" s="6" customFormat="1" ht="15" x14ac:dyDescent="0.25">
      <c r="A44" s="361">
        <v>31</v>
      </c>
      <c r="B44" s="362" t="s">
        <v>291</v>
      </c>
      <c r="C44" s="371" t="s">
        <v>78</v>
      </c>
      <c r="D44" s="376" t="s">
        <v>28</v>
      </c>
      <c r="E44" s="375" t="s">
        <v>292</v>
      </c>
      <c r="F44" s="375"/>
      <c r="G44" s="375"/>
      <c r="H44" s="375" t="s">
        <v>65</v>
      </c>
      <c r="I44" s="376" t="s">
        <v>48</v>
      </c>
      <c r="J44" s="376" t="s">
        <v>56</v>
      </c>
      <c r="K44" s="5">
        <v>3</v>
      </c>
      <c r="L44" s="358">
        <v>17697</v>
      </c>
      <c r="M44" s="373">
        <v>1.25</v>
      </c>
      <c r="N44" s="5">
        <v>1</v>
      </c>
      <c r="O44" s="358">
        <v>3.68</v>
      </c>
      <c r="P44" s="358">
        <f t="shared" si="12"/>
        <v>65124.960000000006</v>
      </c>
      <c r="Q44" s="366">
        <f t="shared" si="5"/>
        <v>0</v>
      </c>
      <c r="R44" s="367">
        <f t="shared" si="13"/>
        <v>0</v>
      </c>
      <c r="S44" s="368">
        <f t="shared" si="14"/>
        <v>0.1</v>
      </c>
      <c r="T44" s="367">
        <f t="shared" si="15"/>
        <v>8140.62</v>
      </c>
      <c r="U44" s="369">
        <v>0.4</v>
      </c>
      <c r="V44" s="370">
        <f t="shared" si="7"/>
        <v>8848.5</v>
      </c>
      <c r="W44" s="370">
        <f t="shared" si="4"/>
        <v>98395.32</v>
      </c>
      <c r="X44" s="222">
        <f t="shared" si="6"/>
        <v>78716.256000000008</v>
      </c>
      <c r="Z44" s="13"/>
    </row>
    <row r="45" spans="1:26" s="6" customFormat="1" ht="15" x14ac:dyDescent="0.25">
      <c r="A45" s="361">
        <v>32</v>
      </c>
      <c r="B45" s="362" t="s">
        <v>337</v>
      </c>
      <c r="C45" s="371" t="s">
        <v>78</v>
      </c>
      <c r="D45" s="376" t="s">
        <v>28</v>
      </c>
      <c r="E45" s="375" t="s">
        <v>293</v>
      </c>
      <c r="F45" s="375"/>
      <c r="G45" s="375"/>
      <c r="H45" s="375" t="s">
        <v>65</v>
      </c>
      <c r="I45" s="376" t="s">
        <v>48</v>
      </c>
      <c r="J45" s="376" t="s">
        <v>56</v>
      </c>
      <c r="K45" s="5">
        <v>4</v>
      </c>
      <c r="L45" s="358">
        <v>17697</v>
      </c>
      <c r="M45" s="373">
        <v>1.25</v>
      </c>
      <c r="N45" s="375"/>
      <c r="O45" s="358">
        <v>2.87</v>
      </c>
      <c r="P45" s="358">
        <f t="shared" si="12"/>
        <v>50790.39</v>
      </c>
      <c r="Q45" s="366">
        <f t="shared" si="5"/>
        <v>0</v>
      </c>
      <c r="R45" s="367">
        <f t="shared" si="13"/>
        <v>0</v>
      </c>
      <c r="S45" s="368">
        <f t="shared" si="14"/>
        <v>0.1</v>
      </c>
      <c r="T45" s="367">
        <f t="shared" si="15"/>
        <v>6348.8</v>
      </c>
      <c r="U45" s="369">
        <v>0.4</v>
      </c>
      <c r="V45" s="370">
        <f t="shared" si="7"/>
        <v>8848.5</v>
      </c>
      <c r="W45" s="370">
        <f t="shared" si="4"/>
        <v>78685.289999999994</v>
      </c>
      <c r="X45" s="222">
        <f t="shared" si="6"/>
        <v>62948.231999999996</v>
      </c>
      <c r="Z45" s="13"/>
    </row>
    <row r="46" spans="1:26" s="6" customFormat="1" ht="15" x14ac:dyDescent="0.25">
      <c r="A46" s="361">
        <v>33</v>
      </c>
      <c r="B46" s="362" t="s">
        <v>294</v>
      </c>
      <c r="C46" s="371" t="s">
        <v>78</v>
      </c>
      <c r="D46" s="376" t="s">
        <v>35</v>
      </c>
      <c r="E46" s="375" t="s">
        <v>279</v>
      </c>
      <c r="F46" s="375"/>
      <c r="G46" s="375"/>
      <c r="H46" s="375" t="s">
        <v>65</v>
      </c>
      <c r="I46" s="376" t="s">
        <v>48</v>
      </c>
      <c r="J46" s="376" t="s">
        <v>49</v>
      </c>
      <c r="K46" s="5">
        <v>4</v>
      </c>
      <c r="L46" s="358">
        <v>17697</v>
      </c>
      <c r="M46" s="373">
        <v>1.25</v>
      </c>
      <c r="N46" s="375"/>
      <c r="O46" s="358">
        <v>2.38</v>
      </c>
      <c r="P46" s="358">
        <f t="shared" si="12"/>
        <v>42118.86</v>
      </c>
      <c r="Q46" s="366">
        <f t="shared" si="5"/>
        <v>0</v>
      </c>
      <c r="R46" s="367">
        <f t="shared" si="13"/>
        <v>0</v>
      </c>
      <c r="S46" s="368">
        <f t="shared" si="14"/>
        <v>0.1</v>
      </c>
      <c r="T46" s="367">
        <f t="shared" si="15"/>
        <v>5264.86</v>
      </c>
      <c r="U46" s="369">
        <v>0.4</v>
      </c>
      <c r="V46" s="370">
        <f t="shared" si="7"/>
        <v>8848.5</v>
      </c>
      <c r="W46" s="370">
        <v>66761.929999999993</v>
      </c>
      <c r="X46" s="222">
        <f t="shared" si="6"/>
        <v>53409.543999999994</v>
      </c>
      <c r="Z46" s="13"/>
    </row>
    <row r="47" spans="1:26" s="6" customFormat="1" ht="30" x14ac:dyDescent="0.25">
      <c r="A47" s="361">
        <v>34</v>
      </c>
      <c r="B47" s="362" t="s">
        <v>295</v>
      </c>
      <c r="C47" s="371" t="s">
        <v>92</v>
      </c>
      <c r="D47" s="360" t="s">
        <v>28</v>
      </c>
      <c r="E47" s="360" t="s">
        <v>296</v>
      </c>
      <c r="F47" s="360"/>
      <c r="G47" s="360"/>
      <c r="H47" s="360">
        <v>1</v>
      </c>
      <c r="I47" s="376"/>
      <c r="J47" s="376"/>
      <c r="K47" s="5" t="s">
        <v>94</v>
      </c>
      <c r="L47" s="358">
        <v>17697</v>
      </c>
      <c r="M47" s="373">
        <v>0.25</v>
      </c>
      <c r="N47" s="375"/>
      <c r="O47" s="358">
        <v>1.76</v>
      </c>
      <c r="P47" s="358">
        <f t="shared" si="12"/>
        <v>31146.720000000001</v>
      </c>
      <c r="Q47" s="366">
        <f t="shared" si="5"/>
        <v>0</v>
      </c>
      <c r="R47" s="367">
        <f t="shared" si="13"/>
        <v>0</v>
      </c>
      <c r="S47" s="368">
        <f t="shared" si="14"/>
        <v>0.1</v>
      </c>
      <c r="T47" s="367">
        <f t="shared" si="15"/>
        <v>778.67</v>
      </c>
      <c r="U47" s="369"/>
      <c r="V47" s="370">
        <f t="shared" si="7"/>
        <v>0</v>
      </c>
      <c r="W47" s="370">
        <f t="shared" si="4"/>
        <v>8565.35</v>
      </c>
      <c r="X47" s="222">
        <f t="shared" si="6"/>
        <v>34261.4</v>
      </c>
      <c r="Z47" s="9"/>
    </row>
    <row r="48" spans="1:26" s="6" customFormat="1" ht="15" x14ac:dyDescent="0.25">
      <c r="A48" s="361">
        <v>35</v>
      </c>
      <c r="B48" s="362" t="s">
        <v>338</v>
      </c>
      <c r="C48" s="371" t="s">
        <v>95</v>
      </c>
      <c r="D48" s="360" t="s">
        <v>35</v>
      </c>
      <c r="E48" s="375" t="s">
        <v>277</v>
      </c>
      <c r="F48" s="375"/>
      <c r="G48" s="375"/>
      <c r="H48" s="375" t="s">
        <v>65</v>
      </c>
      <c r="I48" s="376"/>
      <c r="J48" s="376"/>
      <c r="K48" s="5" t="s">
        <v>94</v>
      </c>
      <c r="L48" s="358">
        <v>17697</v>
      </c>
      <c r="M48" s="373">
        <v>1.25</v>
      </c>
      <c r="N48" s="380"/>
      <c r="O48" s="358">
        <v>1.68</v>
      </c>
      <c r="P48" s="358">
        <f t="shared" si="12"/>
        <v>29730.959999999999</v>
      </c>
      <c r="Q48" s="366">
        <f t="shared" si="5"/>
        <v>0</v>
      </c>
      <c r="R48" s="367">
        <f t="shared" si="13"/>
        <v>0</v>
      </c>
      <c r="S48" s="368">
        <f t="shared" si="14"/>
        <v>0.1</v>
      </c>
      <c r="T48" s="367">
        <f t="shared" si="15"/>
        <v>3716.37</v>
      </c>
      <c r="U48" s="369">
        <v>0.7</v>
      </c>
      <c r="V48" s="370">
        <f t="shared" si="7"/>
        <v>15484.875</v>
      </c>
      <c r="W48" s="370">
        <v>56364.94</v>
      </c>
      <c r="X48" s="222">
        <f t="shared" si="6"/>
        <v>45091.952000000005</v>
      </c>
      <c r="Z48" s="9"/>
    </row>
    <row r="49" spans="1:32" s="6" customFormat="1" ht="15" x14ac:dyDescent="0.25">
      <c r="A49" s="361">
        <v>36</v>
      </c>
      <c r="B49" s="362" t="s">
        <v>339</v>
      </c>
      <c r="C49" s="371" t="s">
        <v>95</v>
      </c>
      <c r="D49" s="360" t="s">
        <v>35</v>
      </c>
      <c r="E49" s="375" t="s">
        <v>297</v>
      </c>
      <c r="F49" s="375"/>
      <c r="G49" s="375"/>
      <c r="H49" s="375" t="s">
        <v>65</v>
      </c>
      <c r="I49" s="376"/>
      <c r="J49" s="376"/>
      <c r="K49" s="5" t="s">
        <v>94</v>
      </c>
      <c r="L49" s="358">
        <v>17697</v>
      </c>
      <c r="M49" s="373">
        <v>1.25</v>
      </c>
      <c r="N49" s="380"/>
      <c r="O49" s="358">
        <v>1.84</v>
      </c>
      <c r="P49" s="358">
        <f t="shared" si="12"/>
        <v>32562.480000000003</v>
      </c>
      <c r="Q49" s="366">
        <f t="shared" si="5"/>
        <v>0</v>
      </c>
      <c r="R49" s="367">
        <f t="shared" si="13"/>
        <v>0</v>
      </c>
      <c r="S49" s="368">
        <f t="shared" si="14"/>
        <v>0.1</v>
      </c>
      <c r="T49" s="367">
        <f t="shared" si="15"/>
        <v>4070.31</v>
      </c>
      <c r="U49" s="369">
        <v>0.7</v>
      </c>
      <c r="V49" s="370">
        <f t="shared" si="7"/>
        <v>15484.875</v>
      </c>
      <c r="W49" s="370">
        <v>60258.28</v>
      </c>
      <c r="X49" s="222">
        <f t="shared" si="6"/>
        <v>48206.623999999996</v>
      </c>
      <c r="Z49" s="9"/>
    </row>
    <row r="50" spans="1:32" s="6" customFormat="1" ht="15" x14ac:dyDescent="0.25">
      <c r="A50" s="361">
        <v>37</v>
      </c>
      <c r="B50" s="362" t="s">
        <v>97</v>
      </c>
      <c r="C50" s="371" t="s">
        <v>95</v>
      </c>
      <c r="D50" s="360" t="s">
        <v>35</v>
      </c>
      <c r="E50" s="375" t="s">
        <v>279</v>
      </c>
      <c r="F50" s="375"/>
      <c r="G50" s="375"/>
      <c r="H50" s="375" t="s">
        <v>65</v>
      </c>
      <c r="I50" s="376"/>
      <c r="J50" s="376"/>
      <c r="K50" s="5" t="s">
        <v>94</v>
      </c>
      <c r="L50" s="358">
        <v>17697</v>
      </c>
      <c r="M50" s="373">
        <v>1.25</v>
      </c>
      <c r="N50" s="380"/>
      <c r="O50" s="358">
        <v>1.68</v>
      </c>
      <c r="P50" s="358">
        <f t="shared" si="12"/>
        <v>29730.959999999999</v>
      </c>
      <c r="Q50" s="366">
        <f t="shared" si="5"/>
        <v>0</v>
      </c>
      <c r="R50" s="367">
        <f t="shared" si="13"/>
        <v>0</v>
      </c>
      <c r="S50" s="368">
        <f t="shared" si="14"/>
        <v>0.1</v>
      </c>
      <c r="T50" s="367">
        <f t="shared" si="15"/>
        <v>3716.37</v>
      </c>
      <c r="U50" s="369">
        <v>0.7</v>
      </c>
      <c r="V50" s="370">
        <f t="shared" si="7"/>
        <v>15484.875</v>
      </c>
      <c r="W50" s="370">
        <v>56364.94</v>
      </c>
      <c r="X50" s="222">
        <f t="shared" si="6"/>
        <v>45091.952000000005</v>
      </c>
      <c r="Z50" s="9"/>
    </row>
    <row r="51" spans="1:32" s="6" customFormat="1" ht="15" x14ac:dyDescent="0.25">
      <c r="A51" s="361">
        <v>38</v>
      </c>
      <c r="B51" s="362" t="s">
        <v>298</v>
      </c>
      <c r="C51" s="371" t="s">
        <v>95</v>
      </c>
      <c r="D51" s="360" t="s">
        <v>118</v>
      </c>
      <c r="E51" s="375" t="s">
        <v>41</v>
      </c>
      <c r="F51" s="375"/>
      <c r="G51" s="375"/>
      <c r="H51" s="375" t="s">
        <v>65</v>
      </c>
      <c r="I51" s="376"/>
      <c r="J51" s="376"/>
      <c r="K51" s="5" t="s">
        <v>94</v>
      </c>
      <c r="L51" s="358">
        <v>17697</v>
      </c>
      <c r="M51" s="373">
        <v>1.25</v>
      </c>
      <c r="N51" s="380"/>
      <c r="O51" s="358">
        <v>1.64</v>
      </c>
      <c r="P51" s="358">
        <f t="shared" si="12"/>
        <v>29023.079999999998</v>
      </c>
      <c r="Q51" s="366">
        <f t="shared" si="5"/>
        <v>0</v>
      </c>
      <c r="R51" s="367">
        <f t="shared" si="13"/>
        <v>0</v>
      </c>
      <c r="S51" s="368">
        <f t="shared" si="14"/>
        <v>0.1</v>
      </c>
      <c r="T51" s="367">
        <f t="shared" si="15"/>
        <v>3627.89</v>
      </c>
      <c r="U51" s="369">
        <v>0.7</v>
      </c>
      <c r="V51" s="370">
        <f t="shared" si="7"/>
        <v>15484.875</v>
      </c>
      <c r="W51" s="370">
        <v>55391.61</v>
      </c>
      <c r="X51" s="222">
        <f t="shared" si="6"/>
        <v>44313.288</v>
      </c>
      <c r="Z51" s="9"/>
    </row>
    <row r="52" spans="1:32" s="6" customFormat="1" ht="15" x14ac:dyDescent="0.25">
      <c r="A52" s="361">
        <v>39</v>
      </c>
      <c r="B52" s="362" t="s">
        <v>299</v>
      </c>
      <c r="C52" s="371" t="s">
        <v>95</v>
      </c>
      <c r="D52" s="360" t="s">
        <v>118</v>
      </c>
      <c r="E52" s="375" t="s">
        <v>300</v>
      </c>
      <c r="F52" s="375"/>
      <c r="G52" s="375"/>
      <c r="H52" s="375" t="s">
        <v>65</v>
      </c>
      <c r="I52" s="376"/>
      <c r="J52" s="376"/>
      <c r="K52" s="5" t="s">
        <v>94</v>
      </c>
      <c r="L52" s="358">
        <v>17697</v>
      </c>
      <c r="M52" s="373">
        <v>1.25</v>
      </c>
      <c r="N52" s="380"/>
      <c r="O52" s="358">
        <v>1.76</v>
      </c>
      <c r="P52" s="358">
        <f t="shared" si="12"/>
        <v>31146.720000000001</v>
      </c>
      <c r="Q52" s="366">
        <f t="shared" si="5"/>
        <v>0</v>
      </c>
      <c r="R52" s="367">
        <f t="shared" si="13"/>
        <v>0</v>
      </c>
      <c r="S52" s="368">
        <f t="shared" si="14"/>
        <v>0.1</v>
      </c>
      <c r="T52" s="367">
        <f t="shared" si="15"/>
        <v>3893.34</v>
      </c>
      <c r="U52" s="369">
        <v>0.7</v>
      </c>
      <c r="V52" s="370">
        <f t="shared" si="7"/>
        <v>15484.875</v>
      </c>
      <c r="W52" s="370">
        <f t="shared" si="4"/>
        <v>58311.62</v>
      </c>
      <c r="X52" s="222">
        <f t="shared" si="6"/>
        <v>46649.296000000002</v>
      </c>
      <c r="Z52" s="9"/>
    </row>
    <row r="53" spans="1:32" s="6" customFormat="1" ht="30.75" thickBot="1" x14ac:dyDescent="0.3">
      <c r="A53" s="361">
        <v>40</v>
      </c>
      <c r="B53" s="362" t="s">
        <v>313</v>
      </c>
      <c r="C53" s="371" t="s">
        <v>99</v>
      </c>
      <c r="D53" s="360" t="s">
        <v>28</v>
      </c>
      <c r="E53" s="375" t="s">
        <v>312</v>
      </c>
      <c r="F53" s="375"/>
      <c r="G53" s="375"/>
      <c r="H53" s="375" t="s">
        <v>65</v>
      </c>
      <c r="I53" s="376" t="s">
        <v>48</v>
      </c>
      <c r="J53" s="376" t="s">
        <v>56</v>
      </c>
      <c r="K53" s="5">
        <v>1</v>
      </c>
      <c r="L53" s="358">
        <v>17697</v>
      </c>
      <c r="M53" s="373">
        <v>1.25</v>
      </c>
      <c r="N53" s="375" t="s">
        <v>101</v>
      </c>
      <c r="O53" s="358">
        <v>4.1399999999999997</v>
      </c>
      <c r="P53" s="358">
        <f t="shared" si="12"/>
        <v>73265.579999999987</v>
      </c>
      <c r="Q53" s="366">
        <f t="shared" si="5"/>
        <v>0</v>
      </c>
      <c r="R53" s="367">
        <f t="shared" si="13"/>
        <v>0</v>
      </c>
      <c r="S53" s="368">
        <f t="shared" si="14"/>
        <v>0.1</v>
      </c>
      <c r="T53" s="367">
        <f t="shared" si="15"/>
        <v>9158.2000000000007</v>
      </c>
      <c r="U53" s="369">
        <v>0.4</v>
      </c>
      <c r="V53" s="370">
        <f t="shared" si="7"/>
        <v>8848.5</v>
      </c>
      <c r="W53" s="370">
        <v>109588.67</v>
      </c>
      <c r="X53" s="222">
        <f t="shared" si="6"/>
        <v>87670.936000000002</v>
      </c>
      <c r="Y53" s="11"/>
      <c r="Z53" s="13"/>
    </row>
    <row r="54" spans="1:32" ht="15.75" thickBot="1" x14ac:dyDescent="0.3">
      <c r="A54" s="544" t="s">
        <v>102</v>
      </c>
      <c r="B54" s="545"/>
      <c r="C54" s="545"/>
      <c r="D54" s="545"/>
      <c r="E54" s="381"/>
      <c r="F54" s="381"/>
      <c r="G54" s="381"/>
      <c r="H54" s="381"/>
      <c r="I54" s="381"/>
      <c r="J54" s="381"/>
      <c r="K54" s="381"/>
      <c r="L54" s="382"/>
      <c r="M54" s="382">
        <f>SUM(M16:M53)</f>
        <v>36.162999999999997</v>
      </c>
      <c r="N54" s="382"/>
      <c r="O54" s="382"/>
      <c r="P54" s="382">
        <f>SUM(P16:P53)</f>
        <v>1954930.9699999997</v>
      </c>
      <c r="Q54" s="382"/>
      <c r="R54" s="383">
        <f>SUM(R16:R53)</f>
        <v>0</v>
      </c>
      <c r="S54" s="383"/>
      <c r="T54" s="383">
        <f>SUM(T16:T53)</f>
        <v>195187.84999999998</v>
      </c>
      <c r="U54" s="383"/>
      <c r="V54" s="383">
        <f>SUM(V16:V53)</f>
        <v>273223.97499999998</v>
      </c>
      <c r="W54" s="384">
        <f>SUM(W16:W53)</f>
        <v>2420190.0199999996</v>
      </c>
      <c r="X54" s="1"/>
      <c r="Z54" s="3"/>
      <c r="AA54" s="333"/>
      <c r="AB54" s="1"/>
      <c r="AC54" s="333"/>
      <c r="AD54" s="333"/>
      <c r="AE54" s="333"/>
      <c r="AF54" s="333"/>
    </row>
    <row r="55" spans="1:32" ht="15" x14ac:dyDescent="0.25">
      <c r="A55" s="385">
        <v>41</v>
      </c>
      <c r="B55" s="386" t="s">
        <v>105</v>
      </c>
      <c r="C55" s="387" t="s">
        <v>106</v>
      </c>
      <c r="D55" s="385" t="s">
        <v>118</v>
      </c>
      <c r="E55" s="385" t="s">
        <v>303</v>
      </c>
      <c r="F55" s="388"/>
      <c r="G55" s="388"/>
      <c r="H55" s="385">
        <v>1</v>
      </c>
      <c r="I55" s="389"/>
      <c r="J55" s="390"/>
      <c r="K55" s="391">
        <v>5</v>
      </c>
      <c r="L55" s="392">
        <v>17697</v>
      </c>
      <c r="M55" s="393">
        <v>1</v>
      </c>
      <c r="N55" s="393"/>
      <c r="O55" s="392">
        <v>2.1</v>
      </c>
      <c r="P55" s="392">
        <f t="shared" ref="P55:P69" si="31">L55*O55</f>
        <v>37163.700000000004</v>
      </c>
      <c r="Q55" s="394">
        <f>IF(G55&gt;0,25%,0)</f>
        <v>0</v>
      </c>
      <c r="R55" s="395">
        <f>ROUND((P55+T55)*Q55,2)</f>
        <v>0</v>
      </c>
      <c r="S55" s="396">
        <f>IF(H55&gt;0,10%,0)</f>
        <v>0.1</v>
      </c>
      <c r="T55" s="395">
        <f>ROUND(P55*S55*M55,2)</f>
        <v>3716.37</v>
      </c>
      <c r="U55" s="397">
        <v>0.3</v>
      </c>
      <c r="V55" s="370">
        <f t="shared" ref="V55:V60" si="32">L55*U55*M55</f>
        <v>5309.0999999999995</v>
      </c>
      <c r="W55" s="398">
        <f t="shared" ref="W55:W69" si="33">ROUND(P55*M55+R55+T55+V55,2)</f>
        <v>46189.17</v>
      </c>
      <c r="X55" s="222">
        <f t="shared" si="6"/>
        <v>46189.17</v>
      </c>
      <c r="Z55" s="333"/>
      <c r="AA55" s="333"/>
      <c r="AB55" s="333"/>
      <c r="AC55" s="333"/>
      <c r="AD55" s="333"/>
      <c r="AE55" s="333"/>
      <c r="AF55" s="333"/>
    </row>
    <row r="56" spans="1:32" ht="15" x14ac:dyDescent="0.25">
      <c r="A56" s="391">
        <v>42</v>
      </c>
      <c r="B56" s="386" t="s">
        <v>340</v>
      </c>
      <c r="C56" s="387" t="s">
        <v>106</v>
      </c>
      <c r="D56" s="385" t="s">
        <v>318</v>
      </c>
      <c r="E56" s="385" t="s">
        <v>304</v>
      </c>
      <c r="F56" s="388"/>
      <c r="G56" s="388"/>
      <c r="H56" s="385">
        <v>1</v>
      </c>
      <c r="I56" s="389"/>
      <c r="J56" s="390"/>
      <c r="K56" s="391">
        <v>5</v>
      </c>
      <c r="L56" s="392">
        <v>17697</v>
      </c>
      <c r="M56" s="393">
        <v>1</v>
      </c>
      <c r="N56" s="393"/>
      <c r="O56" s="392">
        <v>2.1</v>
      </c>
      <c r="P56" s="392">
        <f t="shared" si="31"/>
        <v>37163.700000000004</v>
      </c>
      <c r="Q56" s="394">
        <f>IF(G56&gt;0,25%,0)</f>
        <v>0</v>
      </c>
      <c r="R56" s="395">
        <f>ROUND((P56+T56)*Q56,2)</f>
        <v>0</v>
      </c>
      <c r="S56" s="396">
        <f t="shared" ref="S56:S69" si="34">IF(H56&gt;0,10%,0)</f>
        <v>0.1</v>
      </c>
      <c r="T56" s="395">
        <f>ROUND(P56*S56*M56,2)</f>
        <v>3716.37</v>
      </c>
      <c r="U56" s="397">
        <v>0.3</v>
      </c>
      <c r="V56" s="370">
        <f t="shared" si="32"/>
        <v>5309.0999999999995</v>
      </c>
      <c r="W56" s="398">
        <f t="shared" si="33"/>
        <v>46189.17</v>
      </c>
      <c r="X56" s="222">
        <f t="shared" si="6"/>
        <v>46189.17</v>
      </c>
      <c r="Z56" s="333"/>
      <c r="AA56" s="333"/>
      <c r="AB56" s="333"/>
      <c r="AC56" s="333"/>
      <c r="AD56" s="333"/>
      <c r="AE56" s="333"/>
      <c r="AF56" s="333"/>
    </row>
    <row r="57" spans="1:32" ht="15" x14ac:dyDescent="0.25">
      <c r="A57" s="385">
        <v>43</v>
      </c>
      <c r="B57" s="386" t="s">
        <v>108</v>
      </c>
      <c r="C57" s="387" t="s">
        <v>109</v>
      </c>
      <c r="D57" s="385" t="s">
        <v>35</v>
      </c>
      <c r="E57" s="385" t="s">
        <v>41</v>
      </c>
      <c r="F57" s="388"/>
      <c r="G57" s="388"/>
      <c r="H57" s="385">
        <v>1</v>
      </c>
      <c r="I57" s="389"/>
      <c r="J57" s="390"/>
      <c r="K57" s="391">
        <v>2</v>
      </c>
      <c r="L57" s="392">
        <v>17697</v>
      </c>
      <c r="M57" s="393">
        <v>0.5</v>
      </c>
      <c r="N57" s="393"/>
      <c r="O57" s="392">
        <v>1.71</v>
      </c>
      <c r="P57" s="392">
        <f t="shared" si="31"/>
        <v>30261.87</v>
      </c>
      <c r="Q57" s="394">
        <f t="shared" ref="Q57:Q69" si="35">IF(G57&gt;0,25%,0)</f>
        <v>0</v>
      </c>
      <c r="R57" s="395">
        <f t="shared" ref="R57:R69" si="36">ROUND((P57+T57)*Q57,2)</f>
        <v>0</v>
      </c>
      <c r="S57" s="396">
        <f t="shared" si="34"/>
        <v>0.1</v>
      </c>
      <c r="T57" s="395">
        <f t="shared" ref="T57:T69" si="37">ROUND(P57*S57*M57,2)</f>
        <v>1513.09</v>
      </c>
      <c r="U57" s="397"/>
      <c r="V57" s="370"/>
      <c r="W57" s="398">
        <f t="shared" si="33"/>
        <v>16644.03</v>
      </c>
      <c r="X57" s="222">
        <f t="shared" si="6"/>
        <v>33288.06</v>
      </c>
      <c r="Z57" s="333"/>
      <c r="AA57" s="333"/>
      <c r="AB57" s="333"/>
      <c r="AC57" s="333"/>
      <c r="AD57" s="333"/>
      <c r="AE57" s="333"/>
      <c r="AF57" s="333"/>
    </row>
    <row r="58" spans="1:32" ht="15" x14ac:dyDescent="0.25">
      <c r="A58" s="385">
        <v>44</v>
      </c>
      <c r="B58" s="386" t="s">
        <v>301</v>
      </c>
      <c r="C58" s="387" t="s">
        <v>111</v>
      </c>
      <c r="D58" s="385" t="s">
        <v>28</v>
      </c>
      <c r="E58" s="385" t="s">
        <v>302</v>
      </c>
      <c r="F58" s="388"/>
      <c r="G58" s="388"/>
      <c r="H58" s="385">
        <v>1</v>
      </c>
      <c r="I58" s="389"/>
      <c r="J58" s="390"/>
      <c r="K58" s="391">
        <v>3</v>
      </c>
      <c r="L58" s="392">
        <v>17697</v>
      </c>
      <c r="M58" s="393">
        <v>0.5</v>
      </c>
      <c r="N58" s="393"/>
      <c r="O58" s="392">
        <v>1.83</v>
      </c>
      <c r="P58" s="392">
        <f t="shared" si="31"/>
        <v>32385.510000000002</v>
      </c>
      <c r="Q58" s="394">
        <f t="shared" si="35"/>
        <v>0</v>
      </c>
      <c r="R58" s="395">
        <f t="shared" si="36"/>
        <v>0</v>
      </c>
      <c r="S58" s="396">
        <f t="shared" si="34"/>
        <v>0.1</v>
      </c>
      <c r="T58" s="395">
        <f t="shared" si="37"/>
        <v>1619.28</v>
      </c>
      <c r="U58" s="397"/>
      <c r="V58" s="370"/>
      <c r="W58" s="398">
        <v>17812.03</v>
      </c>
      <c r="X58" s="222">
        <f t="shared" si="6"/>
        <v>35624.06</v>
      </c>
      <c r="Z58" s="3"/>
      <c r="AA58" s="333"/>
      <c r="AB58" s="333"/>
      <c r="AC58" s="333"/>
      <c r="AD58" s="333"/>
      <c r="AE58" s="333"/>
      <c r="AF58" s="333"/>
    </row>
    <row r="59" spans="1:32" ht="30" x14ac:dyDescent="0.25">
      <c r="A59" s="385">
        <v>45</v>
      </c>
      <c r="B59" s="386" t="s">
        <v>305</v>
      </c>
      <c r="C59" s="399" t="s">
        <v>112</v>
      </c>
      <c r="D59" s="385" t="s">
        <v>35</v>
      </c>
      <c r="E59" s="385" t="s">
        <v>306</v>
      </c>
      <c r="F59" s="385"/>
      <c r="G59" s="385"/>
      <c r="H59" s="385">
        <v>1</v>
      </c>
      <c r="I59" s="389"/>
      <c r="J59" s="389"/>
      <c r="K59" s="385">
        <v>2</v>
      </c>
      <c r="L59" s="392">
        <v>17697</v>
      </c>
      <c r="M59" s="393">
        <v>1</v>
      </c>
      <c r="N59" s="393"/>
      <c r="O59" s="393">
        <v>1.71</v>
      </c>
      <c r="P59" s="392">
        <f t="shared" si="31"/>
        <v>30261.87</v>
      </c>
      <c r="Q59" s="394">
        <f t="shared" si="35"/>
        <v>0</v>
      </c>
      <c r="R59" s="395">
        <f t="shared" si="36"/>
        <v>0</v>
      </c>
      <c r="S59" s="396">
        <f t="shared" si="34"/>
        <v>0.1</v>
      </c>
      <c r="T59" s="395">
        <f t="shared" si="37"/>
        <v>3026.19</v>
      </c>
      <c r="U59" s="397">
        <v>0.3</v>
      </c>
      <c r="V59" s="370">
        <f t="shared" si="32"/>
        <v>5309.0999999999995</v>
      </c>
      <c r="W59" s="398">
        <f t="shared" si="33"/>
        <v>38597.160000000003</v>
      </c>
      <c r="X59" s="222">
        <f t="shared" si="6"/>
        <v>38597.160000000003</v>
      </c>
      <c r="Z59" s="3"/>
      <c r="AA59" s="333"/>
      <c r="AB59" s="333"/>
      <c r="AC59" s="333"/>
      <c r="AD59" s="333"/>
      <c r="AE59" s="333"/>
      <c r="AF59" s="333"/>
    </row>
    <row r="60" spans="1:32" ht="30" x14ac:dyDescent="0.25">
      <c r="A60" s="391">
        <v>46</v>
      </c>
      <c r="B60" s="386" t="s">
        <v>307</v>
      </c>
      <c r="C60" s="399" t="s">
        <v>113</v>
      </c>
      <c r="D60" s="385" t="s">
        <v>28</v>
      </c>
      <c r="E60" s="385" t="s">
        <v>41</v>
      </c>
      <c r="F60" s="385"/>
      <c r="G60" s="385"/>
      <c r="H60" s="385">
        <v>1</v>
      </c>
      <c r="I60" s="389"/>
      <c r="J60" s="389"/>
      <c r="K60" s="385">
        <v>2</v>
      </c>
      <c r="L60" s="392">
        <v>17697</v>
      </c>
      <c r="M60" s="393">
        <v>1</v>
      </c>
      <c r="N60" s="393"/>
      <c r="O60" s="385">
        <v>1.71</v>
      </c>
      <c r="P60" s="392">
        <f t="shared" si="31"/>
        <v>30261.87</v>
      </c>
      <c r="Q60" s="394">
        <f t="shared" si="35"/>
        <v>0</v>
      </c>
      <c r="R60" s="395">
        <f t="shared" si="36"/>
        <v>0</v>
      </c>
      <c r="S60" s="396">
        <f t="shared" si="34"/>
        <v>0.1</v>
      </c>
      <c r="T60" s="395">
        <f t="shared" si="37"/>
        <v>3026.19</v>
      </c>
      <c r="U60" s="397">
        <v>0.3</v>
      </c>
      <c r="V60" s="370">
        <f t="shared" si="32"/>
        <v>5309.0999999999995</v>
      </c>
      <c r="W60" s="398">
        <f t="shared" si="33"/>
        <v>38597.160000000003</v>
      </c>
      <c r="X60" s="222">
        <f t="shared" si="6"/>
        <v>38597.160000000003</v>
      </c>
      <c r="Z60" s="3"/>
      <c r="AA60" s="333"/>
      <c r="AB60" s="333"/>
      <c r="AC60" s="333"/>
      <c r="AD60" s="333"/>
      <c r="AE60" s="333"/>
      <c r="AF60" s="333"/>
    </row>
    <row r="61" spans="1:32" s="347" customFormat="1" ht="30" x14ac:dyDescent="0.25">
      <c r="A61" s="391">
        <v>47</v>
      </c>
      <c r="B61" s="386" t="s">
        <v>108</v>
      </c>
      <c r="C61" s="399" t="s">
        <v>114</v>
      </c>
      <c r="D61" s="385" t="s">
        <v>35</v>
      </c>
      <c r="E61" s="385" t="s">
        <v>41</v>
      </c>
      <c r="F61" s="385"/>
      <c r="G61" s="385"/>
      <c r="H61" s="385">
        <v>1</v>
      </c>
      <c r="I61" s="389"/>
      <c r="J61" s="389"/>
      <c r="K61" s="385">
        <v>2</v>
      </c>
      <c r="L61" s="392">
        <v>17697</v>
      </c>
      <c r="M61" s="393">
        <v>0.5</v>
      </c>
      <c r="N61" s="393"/>
      <c r="O61" s="385">
        <v>1.71</v>
      </c>
      <c r="P61" s="392">
        <f>L61*O61</f>
        <v>30261.87</v>
      </c>
      <c r="Q61" s="394">
        <f t="shared" ref="Q61" si="38">IF(G61&gt;0,25%,0)</f>
        <v>0</v>
      </c>
      <c r="R61" s="395">
        <f t="shared" ref="R61" si="39">ROUND((P61+T61)*Q61,2)</f>
        <v>0</v>
      </c>
      <c r="S61" s="396">
        <f t="shared" ref="S61" si="40">IF(H61&gt;0,10%,0)</f>
        <v>0.1</v>
      </c>
      <c r="T61" s="395">
        <f t="shared" ref="T61" si="41">ROUND(P61*S61*M61,2)</f>
        <v>1513.09</v>
      </c>
      <c r="U61" s="397"/>
      <c r="V61" s="398"/>
      <c r="W61" s="398">
        <f t="shared" ref="W61" si="42">ROUND(P61*M61+R61+T61+V61,2)</f>
        <v>16644.03</v>
      </c>
      <c r="X61" s="222"/>
      <c r="Z61" s="3"/>
    </row>
    <row r="62" spans="1:32" ht="30" x14ac:dyDescent="0.25">
      <c r="A62" s="385">
        <v>48</v>
      </c>
      <c r="B62" s="386" t="s">
        <v>308</v>
      </c>
      <c r="C62" s="399" t="s">
        <v>114</v>
      </c>
      <c r="D62" s="385" t="s">
        <v>35</v>
      </c>
      <c r="E62" s="385" t="s">
        <v>41</v>
      </c>
      <c r="F62" s="385"/>
      <c r="G62" s="385"/>
      <c r="H62" s="385">
        <v>1</v>
      </c>
      <c r="I62" s="389"/>
      <c r="J62" s="389"/>
      <c r="K62" s="385">
        <v>2</v>
      </c>
      <c r="L62" s="392">
        <v>17697</v>
      </c>
      <c r="M62" s="393">
        <v>0.5</v>
      </c>
      <c r="N62" s="393"/>
      <c r="O62" s="385">
        <v>1.71</v>
      </c>
      <c r="P62" s="392">
        <f>L62*O62</f>
        <v>30261.87</v>
      </c>
      <c r="Q62" s="394">
        <f t="shared" si="35"/>
        <v>0</v>
      </c>
      <c r="R62" s="395">
        <f t="shared" si="36"/>
        <v>0</v>
      </c>
      <c r="S62" s="396">
        <f t="shared" si="34"/>
        <v>0.1</v>
      </c>
      <c r="T62" s="395">
        <f t="shared" si="37"/>
        <v>1513.09</v>
      </c>
      <c r="U62" s="397"/>
      <c r="V62" s="398"/>
      <c r="W62" s="398">
        <f t="shared" si="33"/>
        <v>16644.03</v>
      </c>
      <c r="X62" s="222">
        <f t="shared" si="6"/>
        <v>33288.06</v>
      </c>
      <c r="Z62" s="3"/>
      <c r="AA62" s="333"/>
      <c r="AB62" s="333"/>
      <c r="AC62" s="333"/>
      <c r="AD62" s="333"/>
      <c r="AE62" s="333"/>
      <c r="AF62" s="333"/>
    </row>
    <row r="63" spans="1:32" ht="15" x14ac:dyDescent="0.25">
      <c r="A63" s="391">
        <v>49</v>
      </c>
      <c r="B63" s="386" t="str">
        <f>'[1]РАСЧЁТЫ по действующей сист16'!B114</f>
        <v>Парада В.</v>
      </c>
      <c r="C63" s="399" t="s">
        <v>115</v>
      </c>
      <c r="D63" s="385" t="s">
        <v>35</v>
      </c>
      <c r="E63" s="385" t="s">
        <v>277</v>
      </c>
      <c r="F63" s="385"/>
      <c r="G63" s="385"/>
      <c r="H63" s="385">
        <v>1</v>
      </c>
      <c r="I63" s="389"/>
      <c r="J63" s="389"/>
      <c r="K63" s="385">
        <v>4</v>
      </c>
      <c r="L63" s="392">
        <v>17697</v>
      </c>
      <c r="M63" s="393">
        <v>0.5</v>
      </c>
      <c r="N63" s="393"/>
      <c r="O63" s="385">
        <v>1.96</v>
      </c>
      <c r="P63" s="392">
        <f>L63*O63</f>
        <v>34686.120000000003</v>
      </c>
      <c r="Q63" s="394">
        <f t="shared" si="35"/>
        <v>0</v>
      </c>
      <c r="R63" s="395">
        <f t="shared" si="36"/>
        <v>0</v>
      </c>
      <c r="S63" s="396">
        <f t="shared" si="34"/>
        <v>0.1</v>
      </c>
      <c r="T63" s="395">
        <f t="shared" si="37"/>
        <v>1734.31</v>
      </c>
      <c r="U63" s="397"/>
      <c r="V63" s="398"/>
      <c r="W63" s="398">
        <f t="shared" si="33"/>
        <v>19077.37</v>
      </c>
      <c r="X63" s="222">
        <f t="shared" si="6"/>
        <v>38154.74</v>
      </c>
      <c r="Z63" s="3"/>
      <c r="AA63" s="333"/>
      <c r="AB63" s="333"/>
      <c r="AC63" s="333"/>
      <c r="AD63" s="333"/>
      <c r="AE63" s="333"/>
      <c r="AF63" s="333"/>
    </row>
    <row r="64" spans="1:32" s="348" customFormat="1" ht="15" x14ac:dyDescent="0.25">
      <c r="A64" s="391">
        <v>50</v>
      </c>
      <c r="B64" s="386" t="s">
        <v>108</v>
      </c>
      <c r="C64" s="399" t="s">
        <v>115</v>
      </c>
      <c r="D64" s="385" t="s">
        <v>35</v>
      </c>
      <c r="E64" s="385" t="s">
        <v>41</v>
      </c>
      <c r="F64" s="385"/>
      <c r="G64" s="385"/>
      <c r="H64" s="385">
        <v>1</v>
      </c>
      <c r="I64" s="389"/>
      <c r="J64" s="389"/>
      <c r="K64" s="385">
        <v>4</v>
      </c>
      <c r="L64" s="392">
        <v>17697</v>
      </c>
      <c r="M64" s="393">
        <v>0.5</v>
      </c>
      <c r="N64" s="393"/>
      <c r="O64" s="385">
        <v>1.96</v>
      </c>
      <c r="P64" s="392">
        <f>L64*O64</f>
        <v>34686.120000000003</v>
      </c>
      <c r="Q64" s="394">
        <f t="shared" ref="Q64" si="43">IF(G64&gt;0,25%,0)</f>
        <v>0</v>
      </c>
      <c r="R64" s="395">
        <f t="shared" ref="R64" si="44">ROUND((P64+T64)*Q64,2)</f>
        <v>0</v>
      </c>
      <c r="S64" s="396">
        <f t="shared" ref="S64" si="45">IF(H64&gt;0,10%,0)</f>
        <v>0.1</v>
      </c>
      <c r="T64" s="395">
        <f t="shared" ref="T64" si="46">ROUND(P64*S64*M64,2)</f>
        <v>1734.31</v>
      </c>
      <c r="U64" s="397"/>
      <c r="V64" s="398"/>
      <c r="W64" s="398">
        <f>ROUND(P64*M64+R64+T64+V64,2)</f>
        <v>19077.37</v>
      </c>
      <c r="X64" s="222"/>
      <c r="Z64" s="3"/>
    </row>
    <row r="65" spans="1:32" ht="15" x14ac:dyDescent="0.25">
      <c r="A65" s="391">
        <v>51</v>
      </c>
      <c r="B65" s="386" t="s">
        <v>308</v>
      </c>
      <c r="C65" s="399" t="s">
        <v>117</v>
      </c>
      <c r="D65" s="385" t="s">
        <v>28</v>
      </c>
      <c r="E65" s="385" t="s">
        <v>41</v>
      </c>
      <c r="F65" s="385"/>
      <c r="G65" s="385"/>
      <c r="H65" s="385">
        <v>1</v>
      </c>
      <c r="I65" s="389"/>
      <c r="J65" s="389"/>
      <c r="K65" s="385">
        <v>4</v>
      </c>
      <c r="L65" s="392">
        <v>17697</v>
      </c>
      <c r="M65" s="393">
        <v>0.5</v>
      </c>
      <c r="N65" s="393"/>
      <c r="O65" s="385">
        <v>1.96</v>
      </c>
      <c r="P65" s="392">
        <f t="shared" si="31"/>
        <v>34686.120000000003</v>
      </c>
      <c r="Q65" s="394">
        <f t="shared" si="35"/>
        <v>0</v>
      </c>
      <c r="R65" s="395">
        <f t="shared" si="36"/>
        <v>0</v>
      </c>
      <c r="S65" s="396">
        <f t="shared" si="34"/>
        <v>0.1</v>
      </c>
      <c r="T65" s="395">
        <f t="shared" si="37"/>
        <v>1734.31</v>
      </c>
      <c r="U65" s="397"/>
      <c r="V65" s="398"/>
      <c r="W65" s="398">
        <f t="shared" si="33"/>
        <v>19077.37</v>
      </c>
      <c r="X65" s="222">
        <f>P65/2</f>
        <v>17343.060000000001</v>
      </c>
      <c r="Z65" s="3"/>
      <c r="AA65" s="333"/>
      <c r="AB65" s="333"/>
      <c r="AC65" s="333"/>
      <c r="AD65" s="333"/>
      <c r="AE65" s="333"/>
      <c r="AF65" s="333"/>
    </row>
    <row r="66" spans="1:32" ht="15" x14ac:dyDescent="0.25">
      <c r="A66" s="385">
        <v>52</v>
      </c>
      <c r="B66" s="386" t="str">
        <f>'[1]РАСЧЁТЫ по действующей сист16'!B117</f>
        <v>Абуталипов Н.</v>
      </c>
      <c r="C66" s="88" t="s">
        <v>119</v>
      </c>
      <c r="D66" s="385" t="s">
        <v>28</v>
      </c>
      <c r="E66" s="385" t="s">
        <v>310</v>
      </c>
      <c r="F66" s="385"/>
      <c r="G66" s="385"/>
      <c r="H66" s="385">
        <v>1</v>
      </c>
      <c r="I66" s="389"/>
      <c r="J66" s="389"/>
      <c r="K66" s="385">
        <v>1</v>
      </c>
      <c r="L66" s="392">
        <v>17697</v>
      </c>
      <c r="M66" s="393">
        <v>1</v>
      </c>
      <c r="N66" s="393"/>
      <c r="O66" s="385">
        <v>1.6</v>
      </c>
      <c r="P66" s="392">
        <f t="shared" si="31"/>
        <v>28315.200000000001</v>
      </c>
      <c r="Q66" s="394">
        <f t="shared" si="35"/>
        <v>0</v>
      </c>
      <c r="R66" s="395">
        <f t="shared" si="36"/>
        <v>0</v>
      </c>
      <c r="S66" s="396">
        <f t="shared" si="34"/>
        <v>0.1</v>
      </c>
      <c r="T66" s="395">
        <f t="shared" si="37"/>
        <v>2831.52</v>
      </c>
      <c r="U66" s="397"/>
      <c r="V66" s="398">
        <v>8632.68</v>
      </c>
      <c r="W66" s="398">
        <v>39779.18</v>
      </c>
      <c r="X66" s="222">
        <f t="shared" si="6"/>
        <v>39779.18</v>
      </c>
      <c r="Z66" s="22"/>
      <c r="AA66" s="333"/>
      <c r="AB66" s="333"/>
      <c r="AC66" s="333"/>
      <c r="AD66" s="333"/>
      <c r="AE66" s="333"/>
      <c r="AF66" s="333"/>
    </row>
    <row r="67" spans="1:32" ht="15" x14ac:dyDescent="0.25">
      <c r="A67" s="391">
        <v>53</v>
      </c>
      <c r="B67" s="386" t="str">
        <f>'[1]РАСЧЁТЫ по действующей сист16'!B118</f>
        <v>Медиев М.</v>
      </c>
      <c r="C67" s="88" t="s">
        <v>119</v>
      </c>
      <c r="D67" s="385" t="s">
        <v>118</v>
      </c>
      <c r="E67" s="385" t="s">
        <v>310</v>
      </c>
      <c r="F67" s="385"/>
      <c r="G67" s="385"/>
      <c r="H67" s="385">
        <v>1</v>
      </c>
      <c r="I67" s="389"/>
      <c r="J67" s="389"/>
      <c r="K67" s="385">
        <v>1</v>
      </c>
      <c r="L67" s="392">
        <v>17697</v>
      </c>
      <c r="M67" s="393">
        <v>1</v>
      </c>
      <c r="N67" s="393"/>
      <c r="O67" s="385">
        <v>1.6</v>
      </c>
      <c r="P67" s="392">
        <f t="shared" si="31"/>
        <v>28315.200000000001</v>
      </c>
      <c r="Q67" s="394">
        <f t="shared" si="35"/>
        <v>0</v>
      </c>
      <c r="R67" s="395">
        <f t="shared" si="36"/>
        <v>0</v>
      </c>
      <c r="S67" s="396">
        <f t="shared" si="34"/>
        <v>0.1</v>
      </c>
      <c r="T67" s="395">
        <f t="shared" si="37"/>
        <v>2831.52</v>
      </c>
      <c r="U67" s="397"/>
      <c r="V67" s="398">
        <v>8632.68</v>
      </c>
      <c r="W67" s="398">
        <v>39779.18</v>
      </c>
      <c r="X67" s="222">
        <f t="shared" si="6"/>
        <v>39779.18</v>
      </c>
      <c r="Z67" s="333"/>
      <c r="AA67" s="333"/>
      <c r="AB67" s="333"/>
      <c r="AC67" s="333"/>
      <c r="AD67" s="333"/>
      <c r="AE67" s="333"/>
      <c r="AF67" s="333"/>
    </row>
    <row r="68" spans="1:32" ht="15" x14ac:dyDescent="0.25">
      <c r="A68" s="385">
        <v>54</v>
      </c>
      <c r="B68" s="386" t="str">
        <f>'[1]РАСЧЁТЫ по действующей сист16'!B119</f>
        <v>Уралтаев С.</v>
      </c>
      <c r="C68" s="88" t="s">
        <v>119</v>
      </c>
      <c r="D68" s="385" t="s">
        <v>118</v>
      </c>
      <c r="E68" s="385" t="s">
        <v>310</v>
      </c>
      <c r="F68" s="385"/>
      <c r="G68" s="385"/>
      <c r="H68" s="385">
        <v>1</v>
      </c>
      <c r="I68" s="389"/>
      <c r="J68" s="389"/>
      <c r="K68" s="385">
        <v>1</v>
      </c>
      <c r="L68" s="392">
        <v>17697</v>
      </c>
      <c r="M68" s="393">
        <v>1</v>
      </c>
      <c r="N68" s="393"/>
      <c r="O68" s="385">
        <v>1.6</v>
      </c>
      <c r="P68" s="392">
        <f t="shared" si="31"/>
        <v>28315.200000000001</v>
      </c>
      <c r="Q68" s="394">
        <f t="shared" si="35"/>
        <v>0</v>
      </c>
      <c r="R68" s="395">
        <f t="shared" si="36"/>
        <v>0</v>
      </c>
      <c r="S68" s="396">
        <f t="shared" si="34"/>
        <v>0.1</v>
      </c>
      <c r="T68" s="395">
        <f t="shared" si="37"/>
        <v>2831.52</v>
      </c>
      <c r="U68" s="397"/>
      <c r="V68" s="398">
        <v>8632.68</v>
      </c>
      <c r="W68" s="398">
        <v>39779.18</v>
      </c>
      <c r="X68" s="222">
        <f t="shared" si="6"/>
        <v>39779.18</v>
      </c>
      <c r="Z68" s="333"/>
      <c r="AA68" s="333"/>
      <c r="AB68" s="333"/>
      <c r="AC68" s="333"/>
      <c r="AD68" s="333"/>
      <c r="AE68" s="333"/>
      <c r="AF68" s="333"/>
    </row>
    <row r="69" spans="1:32" ht="15.75" thickBot="1" x14ac:dyDescent="0.3">
      <c r="A69" s="74">
        <v>55</v>
      </c>
      <c r="B69" s="75" t="str">
        <f>'[1]РАСЧЁТЫ по действующей сист16'!B120</f>
        <v>Сипатов А.М.</v>
      </c>
      <c r="C69" s="89" t="s">
        <v>120</v>
      </c>
      <c r="D69" s="77" t="s">
        <v>118</v>
      </c>
      <c r="E69" s="77" t="s">
        <v>309</v>
      </c>
      <c r="F69" s="90"/>
      <c r="G69" s="90"/>
      <c r="H69" s="90">
        <v>1</v>
      </c>
      <c r="I69" s="91"/>
      <c r="J69" s="91"/>
      <c r="K69" s="90">
        <v>2</v>
      </c>
      <c r="L69" s="79">
        <v>17697</v>
      </c>
      <c r="M69" s="92">
        <v>1</v>
      </c>
      <c r="N69" s="92"/>
      <c r="O69" s="77">
        <v>1.71</v>
      </c>
      <c r="P69" s="79">
        <f t="shared" si="31"/>
        <v>30261.87</v>
      </c>
      <c r="Q69" s="80">
        <f t="shared" si="35"/>
        <v>0</v>
      </c>
      <c r="R69" s="81">
        <f t="shared" si="36"/>
        <v>0</v>
      </c>
      <c r="S69" s="82">
        <f t="shared" si="34"/>
        <v>0.1</v>
      </c>
      <c r="T69" s="81">
        <f t="shared" si="37"/>
        <v>3026.19</v>
      </c>
      <c r="U69" s="93"/>
      <c r="V69" s="94"/>
      <c r="W69" s="18">
        <f t="shared" si="33"/>
        <v>33288.06</v>
      </c>
      <c r="X69" s="222">
        <f t="shared" si="6"/>
        <v>33288.06</v>
      </c>
      <c r="AA69" s="333"/>
      <c r="AB69" s="333"/>
      <c r="AC69" s="333"/>
      <c r="AD69" s="333"/>
      <c r="AE69" s="333"/>
      <c r="AF69" s="333"/>
    </row>
    <row r="70" spans="1:32" ht="13.5" thickBot="1" x14ac:dyDescent="0.3">
      <c r="A70" s="483" t="s">
        <v>121</v>
      </c>
      <c r="B70" s="484"/>
      <c r="C70" s="484"/>
      <c r="D70" s="484"/>
      <c r="E70" s="336"/>
      <c r="F70" s="336"/>
      <c r="G70" s="336"/>
      <c r="H70" s="336"/>
      <c r="I70" s="336"/>
      <c r="J70" s="336"/>
      <c r="K70" s="336"/>
      <c r="L70" s="336"/>
      <c r="M70" s="96">
        <f>SUM(M55:M69)</f>
        <v>11.5</v>
      </c>
      <c r="N70" s="96"/>
      <c r="O70" s="96"/>
      <c r="P70" s="353">
        <f>SUM(P55:P69)</f>
        <v>477288.09</v>
      </c>
      <c r="Q70" s="96">
        <f>SUM(Q55:Q69)</f>
        <v>0</v>
      </c>
      <c r="R70" s="96">
        <f>SUM(R55:R69)</f>
        <v>0</v>
      </c>
      <c r="S70" s="96"/>
      <c r="T70" s="353">
        <f>SUM(T55:T69)</f>
        <v>36367.350000000006</v>
      </c>
      <c r="U70" s="96"/>
      <c r="V70" s="353">
        <f>SUM(V55:V69)</f>
        <v>47134.439999999995</v>
      </c>
      <c r="W70" s="356">
        <f>ROUND(SUM(W55:W69),2)</f>
        <v>447174.49</v>
      </c>
      <c r="X70" s="354"/>
      <c r="Z70" s="3"/>
      <c r="AA70" s="333"/>
      <c r="AB70" s="333"/>
      <c r="AC70" s="333"/>
      <c r="AD70" s="333"/>
      <c r="AE70" s="333"/>
      <c r="AF70" s="333"/>
    </row>
    <row r="71" spans="1:32" ht="13.5" thickBot="1" x14ac:dyDescent="0.3">
      <c r="A71" s="485" t="s">
        <v>124</v>
      </c>
      <c r="B71" s="486"/>
      <c r="C71" s="486"/>
      <c r="D71" s="486"/>
      <c r="E71" s="337"/>
      <c r="F71" s="337"/>
      <c r="G71" s="337"/>
      <c r="H71" s="337"/>
      <c r="I71" s="337"/>
      <c r="J71" s="337"/>
      <c r="K71" s="337"/>
      <c r="L71" s="337"/>
      <c r="M71" s="99">
        <f>M15+M54+M70</f>
        <v>50.162999999999997</v>
      </c>
      <c r="N71" s="99"/>
      <c r="O71" s="99"/>
      <c r="P71" s="99">
        <f>P15+P54+P70</f>
        <v>2630602.4299999997</v>
      </c>
      <c r="Q71" s="99">
        <f>Q15+Q54+Q70</f>
        <v>0</v>
      </c>
      <c r="R71" s="99">
        <f>R15+R54+R70</f>
        <v>0</v>
      </c>
      <c r="S71" s="99"/>
      <c r="T71" s="99">
        <f>T15+T54+T70</f>
        <v>248128.44999999998</v>
      </c>
      <c r="U71" s="99"/>
      <c r="V71" s="355">
        <f>V15+V54+V70</f>
        <v>325667.51499999996</v>
      </c>
      <c r="W71" s="357">
        <f>W15+W54+W70</f>
        <v>3054979.26</v>
      </c>
      <c r="X71" s="1"/>
      <c r="Z71" s="22"/>
      <c r="AA71" s="333"/>
      <c r="AB71" s="333"/>
      <c r="AC71" s="333"/>
      <c r="AD71" s="333"/>
      <c r="AE71" s="333"/>
      <c r="AF71" s="333"/>
    </row>
    <row r="72" spans="1:32" x14ac:dyDescent="0.25">
      <c r="A72" s="334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Z72" s="333"/>
      <c r="AA72" s="333"/>
      <c r="AB72" s="333"/>
      <c r="AC72" s="333"/>
      <c r="AD72" s="333"/>
      <c r="AE72" s="333"/>
      <c r="AF72" s="333"/>
    </row>
    <row r="73" spans="1:32" ht="15" x14ac:dyDescent="0.25">
      <c r="B73" s="333" t="s">
        <v>27</v>
      </c>
      <c r="C73" s="487"/>
      <c r="D73" s="487"/>
      <c r="E73" s="338"/>
      <c r="F73" s="334"/>
      <c r="G73" s="334"/>
      <c r="H73" s="334"/>
      <c r="K73" s="487" t="s">
        <v>342</v>
      </c>
      <c r="L73" s="487"/>
      <c r="M73" s="488"/>
      <c r="N73" s="24"/>
      <c r="O73" s="25"/>
      <c r="P73" s="2"/>
      <c r="Q73" s="2"/>
      <c r="R73" s="2"/>
      <c r="S73" s="2"/>
      <c r="T73" s="3"/>
      <c r="V73" s="1"/>
      <c r="W73" s="3"/>
      <c r="Z73" s="333"/>
      <c r="AA73" s="333"/>
      <c r="AB73" s="333"/>
      <c r="AC73" s="333"/>
      <c r="AD73" s="333"/>
      <c r="AE73" s="333"/>
      <c r="AF73" s="333"/>
    </row>
    <row r="74" spans="1:32" ht="15" x14ac:dyDescent="0.25">
      <c r="C74" s="478" t="s">
        <v>128</v>
      </c>
      <c r="D74" s="478"/>
      <c r="E74" s="478"/>
      <c r="F74" s="334"/>
      <c r="G74" s="334"/>
      <c r="H74" s="334"/>
      <c r="I74" s="332"/>
      <c r="J74" s="332"/>
      <c r="K74" s="479" t="s">
        <v>129</v>
      </c>
      <c r="L74" s="479"/>
      <c r="M74" s="480"/>
      <c r="O74" s="2"/>
      <c r="P74" s="2"/>
      <c r="Q74" s="2"/>
      <c r="R74" s="2"/>
      <c r="S74" s="2"/>
      <c r="T74" s="2"/>
      <c r="U74" s="2"/>
      <c r="V74" s="26"/>
      <c r="W74" s="3"/>
      <c r="Z74" s="22"/>
      <c r="AA74" s="22"/>
      <c r="AB74" s="22"/>
      <c r="AC74" s="22"/>
      <c r="AD74" s="333"/>
      <c r="AE74" s="333"/>
      <c r="AF74" s="333"/>
    </row>
    <row r="75" spans="1:32" x14ac:dyDescent="0.25">
      <c r="E75" s="332"/>
      <c r="F75" s="332"/>
      <c r="G75" s="332"/>
      <c r="H75" s="332"/>
      <c r="I75" s="332"/>
      <c r="J75" s="332"/>
      <c r="K75" s="334"/>
      <c r="L75" s="334"/>
      <c r="O75" s="2"/>
      <c r="P75" s="2"/>
      <c r="Q75" s="2"/>
      <c r="R75" s="2"/>
      <c r="S75" s="2"/>
      <c r="T75" s="3"/>
      <c r="U75" s="3"/>
      <c r="W75" s="3"/>
      <c r="Z75" s="333"/>
      <c r="AB75" s="3"/>
      <c r="AD75" s="333"/>
      <c r="AE75" s="333"/>
      <c r="AF75" s="333"/>
    </row>
    <row r="76" spans="1:32" ht="15" x14ac:dyDescent="0.25">
      <c r="B76" s="333" t="s">
        <v>40</v>
      </c>
      <c r="C76" s="487"/>
      <c r="D76" s="487"/>
      <c r="E76" s="338"/>
      <c r="F76" s="334"/>
      <c r="G76" s="334"/>
      <c r="H76" s="334"/>
      <c r="K76" s="487" t="s">
        <v>271</v>
      </c>
      <c r="L76" s="487"/>
      <c r="M76" s="488"/>
      <c r="W76" s="1"/>
      <c r="Z76" s="1"/>
      <c r="AA76" s="333"/>
      <c r="AB76" s="1"/>
      <c r="AC76" s="1"/>
      <c r="AD76" s="333"/>
      <c r="AE76" s="333"/>
      <c r="AF76" s="333"/>
    </row>
    <row r="77" spans="1:32" ht="15" x14ac:dyDescent="0.25">
      <c r="C77" s="478" t="s">
        <v>128</v>
      </c>
      <c r="D77" s="478"/>
      <c r="E77" s="478"/>
      <c r="F77" s="334"/>
      <c r="G77" s="334"/>
      <c r="H77" s="334"/>
      <c r="K77" s="479" t="s">
        <v>129</v>
      </c>
      <c r="L77" s="479"/>
      <c r="M77" s="480"/>
      <c r="T77" s="26"/>
      <c r="Z77" s="1"/>
      <c r="AA77" s="1"/>
      <c r="AB77" s="1"/>
      <c r="AC77" s="1"/>
      <c r="AD77" s="333"/>
      <c r="AE77" s="333"/>
      <c r="AF77" s="333"/>
    </row>
    <row r="78" spans="1:32" x14ac:dyDescent="0.25">
      <c r="B78" s="27"/>
      <c r="Z78" s="3"/>
      <c r="AA78" s="3"/>
      <c r="AB78" s="3"/>
      <c r="AC78" s="3"/>
      <c r="AD78" s="333"/>
      <c r="AE78" s="333"/>
      <c r="AF78" s="333"/>
    </row>
    <row r="79" spans="1:32" x14ac:dyDescent="0.25">
      <c r="B79" s="28" t="s">
        <v>133</v>
      </c>
      <c r="W79" s="1"/>
      <c r="Z79" s="25"/>
      <c r="AD79" s="333"/>
      <c r="AE79" s="333"/>
      <c r="AF79" s="333"/>
    </row>
    <row r="80" spans="1:32" x14ac:dyDescent="0.25">
      <c r="M80" s="1"/>
      <c r="P80" s="1"/>
      <c r="Q80" s="1"/>
      <c r="R80" s="1"/>
      <c r="S80" s="1"/>
      <c r="T80" s="1"/>
      <c r="AB80" s="3"/>
      <c r="AD80" s="333"/>
      <c r="AE80" s="333"/>
      <c r="AF80" s="333"/>
    </row>
    <row r="81" spans="30:32" x14ac:dyDescent="0.25">
      <c r="AD81" s="333"/>
      <c r="AE81" s="333"/>
      <c r="AF81" s="333"/>
    </row>
    <row r="82" spans="30:32" x14ac:dyDescent="0.25">
      <c r="AD82" s="333"/>
      <c r="AE82" s="333"/>
      <c r="AF82" s="333"/>
    </row>
    <row r="83" spans="30:32" x14ac:dyDescent="0.25">
      <c r="AD83" s="333"/>
      <c r="AE83" s="333"/>
      <c r="AF83" s="333"/>
    </row>
    <row r="84" spans="30:32" x14ac:dyDescent="0.25">
      <c r="AD84" s="333"/>
      <c r="AE84" s="333"/>
      <c r="AF84" s="333"/>
    </row>
    <row r="85" spans="30:32" x14ac:dyDescent="0.25">
      <c r="AD85" s="333"/>
      <c r="AE85" s="333"/>
      <c r="AF85" s="333"/>
    </row>
    <row r="86" spans="30:32" x14ac:dyDescent="0.25">
      <c r="AD86" s="333"/>
      <c r="AE86" s="333"/>
      <c r="AF86" s="333"/>
    </row>
    <row r="87" spans="30:32" x14ac:dyDescent="0.25">
      <c r="AD87" s="333"/>
      <c r="AE87" s="333"/>
      <c r="AF87" s="333"/>
    </row>
    <row r="88" spans="30:32" x14ac:dyDescent="0.25">
      <c r="AD88" s="333"/>
      <c r="AE88" s="333"/>
      <c r="AF88" s="333"/>
    </row>
    <row r="89" spans="30:32" x14ac:dyDescent="0.25">
      <c r="AD89" s="333"/>
      <c r="AE89" s="333"/>
      <c r="AF89" s="333"/>
    </row>
    <row r="90" spans="30:32" x14ac:dyDescent="0.25">
      <c r="AD90" s="333"/>
      <c r="AE90" s="333"/>
      <c r="AF90" s="333"/>
    </row>
    <row r="91" spans="30:32" x14ac:dyDescent="0.25">
      <c r="AD91" s="333"/>
      <c r="AE91" s="333"/>
      <c r="AF91" s="333"/>
    </row>
    <row r="92" spans="30:32" x14ac:dyDescent="0.25">
      <c r="AD92" s="333"/>
      <c r="AE92" s="333"/>
      <c r="AF92" s="333"/>
    </row>
    <row r="93" spans="30:32" x14ac:dyDescent="0.25">
      <c r="AD93" s="333"/>
      <c r="AE93" s="333"/>
      <c r="AF93" s="333"/>
    </row>
    <row r="94" spans="30:32" x14ac:dyDescent="0.25">
      <c r="AD94" s="333"/>
      <c r="AE94" s="333"/>
      <c r="AF94" s="333"/>
    </row>
    <row r="95" spans="30:32" x14ac:dyDescent="0.25">
      <c r="AD95" s="333"/>
      <c r="AE95" s="333"/>
      <c r="AF95" s="333"/>
    </row>
    <row r="96" spans="30:32" x14ac:dyDescent="0.25">
      <c r="AD96" s="333"/>
      <c r="AE96" s="333"/>
      <c r="AF96" s="333"/>
    </row>
    <row r="97" spans="30:32" x14ac:dyDescent="0.25">
      <c r="AD97" s="333"/>
      <c r="AE97" s="333"/>
      <c r="AF97" s="333"/>
    </row>
    <row r="98" spans="30:32" x14ac:dyDescent="0.25">
      <c r="AD98" s="333"/>
      <c r="AE98" s="333"/>
      <c r="AF98" s="333"/>
    </row>
  </sheetData>
  <mergeCells count="35">
    <mergeCell ref="A2:W2"/>
    <mergeCell ref="A3:W3"/>
    <mergeCell ref="S5:T5"/>
    <mergeCell ref="W7:W8"/>
    <mergeCell ref="O7:O8"/>
    <mergeCell ref="P7:P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U7:V7"/>
    <mergeCell ref="Q7:R7"/>
    <mergeCell ref="S7:T7"/>
    <mergeCell ref="N7:N8"/>
    <mergeCell ref="M7:M8"/>
    <mergeCell ref="C77:E77"/>
    <mergeCell ref="K77:M77"/>
    <mergeCell ref="A15:D15"/>
    <mergeCell ref="A54:D54"/>
    <mergeCell ref="A70:D70"/>
    <mergeCell ref="A71:D71"/>
    <mergeCell ref="C73:D73"/>
    <mergeCell ref="K73:M73"/>
    <mergeCell ref="C74:E74"/>
    <mergeCell ref="K74:M74"/>
    <mergeCell ref="C76:D76"/>
    <mergeCell ref="K76:M76"/>
  </mergeCells>
  <pageMargins left="0.70866141732283472" right="0.70866141732283472" top="0.74803149606299213" bottom="0.74803149606299213" header="0.31496062992125984" footer="0.31496062992125984"/>
  <pageSetup paperSize="9" scale="31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66"/>
  <sheetViews>
    <sheetView zoomScaleNormal="100" workbookViewId="0">
      <selection activeCell="G28" sqref="G28"/>
    </sheetView>
  </sheetViews>
  <sheetFormatPr defaultRowHeight="15.75" x14ac:dyDescent="0.25"/>
  <cols>
    <col min="1" max="1" width="5" style="101" customWidth="1"/>
    <col min="2" max="2" width="23.85546875" style="105" customWidth="1"/>
    <col min="3" max="4" width="5.7109375" style="105" customWidth="1"/>
    <col min="5" max="5" width="7.5703125" style="101" customWidth="1"/>
    <col min="6" max="6" width="9.7109375" style="185" customWidth="1"/>
    <col min="7" max="7" width="6" style="185" customWidth="1"/>
    <col min="8" max="8" width="12.28515625" style="185" customWidth="1"/>
    <col min="9" max="9" width="17.28515625" style="185" customWidth="1"/>
    <col min="10" max="10" width="6.28515625" style="185" hidden="1" customWidth="1"/>
    <col min="11" max="11" width="11.42578125" style="185" hidden="1" customWidth="1"/>
    <col min="12" max="12" width="6.85546875" style="185" customWidth="1"/>
    <col min="13" max="13" width="17" style="185" customWidth="1"/>
    <col min="14" max="14" width="5.7109375" style="185" customWidth="1"/>
    <col min="15" max="15" width="15" style="185" customWidth="1"/>
    <col min="16" max="16" width="18.140625" style="186" customWidth="1"/>
    <col min="17" max="17" width="18" style="101" customWidth="1"/>
    <col min="18" max="18" width="13.42578125" style="101" customWidth="1"/>
    <col min="19" max="19" width="15" style="101" hidden="1" customWidth="1"/>
    <col min="20" max="20" width="25.28515625" style="101" hidden="1" customWidth="1"/>
    <col min="21" max="21" width="25.7109375" style="101" hidden="1" customWidth="1"/>
    <col min="22" max="16384" width="9.140625" style="101"/>
  </cols>
  <sheetData>
    <row r="1" spans="1:29" ht="14.25" customHeight="1" x14ac:dyDescent="0.25">
      <c r="B1" s="102"/>
      <c r="C1" s="102"/>
      <c r="D1" s="102"/>
      <c r="E1" s="103"/>
      <c r="F1" s="104"/>
      <c r="G1" s="497" t="s">
        <v>135</v>
      </c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29" ht="25.5" customHeight="1" x14ac:dyDescent="0.25">
      <c r="B2" s="498"/>
      <c r="C2" s="498"/>
      <c r="D2" s="498"/>
      <c r="E2" s="498"/>
      <c r="F2" s="104"/>
      <c r="G2" s="499" t="s">
        <v>136</v>
      </c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29" ht="12" customHeight="1" x14ac:dyDescent="0.25">
      <c r="E3" s="103"/>
      <c r="F3" s="104"/>
      <c r="G3" s="499" t="s">
        <v>137</v>
      </c>
      <c r="H3" s="499"/>
      <c r="I3" s="499"/>
      <c r="J3" s="499"/>
      <c r="K3" s="499"/>
      <c r="L3" s="499"/>
      <c r="M3" s="499"/>
      <c r="N3" s="499"/>
      <c r="O3" s="106"/>
      <c r="P3" s="107"/>
      <c r="Q3" s="106"/>
    </row>
    <row r="4" spans="1:29" ht="13.5" customHeight="1" x14ac:dyDescent="0.25">
      <c r="E4" s="103"/>
      <c r="F4" s="104"/>
      <c r="G4" s="104"/>
      <c r="H4" s="104"/>
      <c r="I4" s="495" t="s">
        <v>368</v>
      </c>
      <c r="J4" s="495"/>
      <c r="K4" s="495"/>
      <c r="L4" s="495"/>
      <c r="M4" s="495"/>
      <c r="N4" s="500"/>
      <c r="O4" s="500"/>
      <c r="P4" s="500"/>
      <c r="Q4" s="500"/>
    </row>
    <row r="5" spans="1:29" ht="13.5" customHeight="1" x14ac:dyDescent="0.25">
      <c r="E5" s="103"/>
      <c r="F5" s="104"/>
      <c r="G5" s="495" t="s">
        <v>369</v>
      </c>
      <c r="H5" s="495"/>
      <c r="I5" s="495"/>
      <c r="J5" s="495"/>
      <c r="K5" s="495"/>
      <c r="L5" s="495"/>
      <c r="M5" s="495"/>
      <c r="N5" s="496"/>
      <c r="O5" s="496"/>
      <c r="P5" s="496"/>
      <c r="Q5" s="496"/>
    </row>
    <row r="6" spans="1:29" ht="22.5" customHeight="1" x14ac:dyDescent="0.25">
      <c r="E6" s="103"/>
      <c r="F6" s="501" t="s">
        <v>370</v>
      </c>
      <c r="G6" s="501"/>
      <c r="H6" s="501"/>
      <c r="I6" s="501"/>
      <c r="J6" s="501"/>
      <c r="K6" s="501"/>
      <c r="L6" s="501"/>
      <c r="M6" s="501"/>
      <c r="N6" s="500"/>
      <c r="O6" s="500"/>
      <c r="P6" s="500"/>
      <c r="Q6" s="500"/>
    </row>
    <row r="7" spans="1:29" ht="11.25" customHeight="1" x14ac:dyDescent="0.25">
      <c r="B7" s="404"/>
      <c r="C7" s="404"/>
      <c r="D7" s="404"/>
      <c r="E7" s="404"/>
      <c r="F7" s="404"/>
      <c r="G7" s="502" t="s">
        <v>139</v>
      </c>
      <c r="H7" s="502"/>
      <c r="I7" s="502"/>
      <c r="J7" s="502"/>
      <c r="K7" s="502"/>
      <c r="L7" s="502"/>
      <c r="M7" s="502"/>
      <c r="N7" s="500"/>
      <c r="O7" s="500"/>
      <c r="P7" s="500"/>
      <c r="Q7" s="500"/>
    </row>
    <row r="8" spans="1:29" ht="14.25" customHeight="1" x14ac:dyDescent="0.25">
      <c r="B8" s="404"/>
      <c r="C8" s="404"/>
      <c r="D8" s="404"/>
      <c r="E8" s="404"/>
      <c r="F8" s="404"/>
      <c r="G8" s="406"/>
      <c r="H8" s="406"/>
      <c r="I8" s="406"/>
      <c r="J8" s="406"/>
      <c r="K8" s="406"/>
      <c r="L8" s="406"/>
      <c r="M8" s="406"/>
      <c r="N8" s="101"/>
      <c r="O8" s="101"/>
      <c r="P8" s="109"/>
    </row>
    <row r="9" spans="1:29" ht="12.75" hidden="1" customHeight="1" x14ac:dyDescent="0.25"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</row>
    <row r="10" spans="1:29" ht="15" customHeight="1" x14ac:dyDescent="0.25">
      <c r="A10" s="497" t="s">
        <v>140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T10" s="110"/>
    </row>
    <row r="11" spans="1:29" ht="12.75" customHeight="1" x14ac:dyDescent="0.25">
      <c r="A11" s="503" t="s">
        <v>367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</row>
    <row r="12" spans="1:29" x14ac:dyDescent="0.25">
      <c r="A12" s="499" t="s">
        <v>142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T12" s="104"/>
      <c r="U12" s="104"/>
      <c r="V12" s="104"/>
      <c r="W12" s="497"/>
      <c r="X12" s="497"/>
      <c r="Y12" s="497"/>
      <c r="Z12" s="497"/>
      <c r="AA12" s="497"/>
      <c r="AB12" s="497"/>
      <c r="AC12" s="497"/>
    </row>
    <row r="13" spans="1:29" ht="16.5" thickBot="1" x14ac:dyDescent="0.3"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112"/>
      <c r="T13" s="104"/>
      <c r="U13" s="499"/>
      <c r="V13" s="499"/>
      <c r="W13" s="505"/>
      <c r="X13" s="505"/>
      <c r="Y13" s="505"/>
      <c r="Z13" s="505"/>
      <c r="AA13" s="505"/>
      <c r="AB13" s="505"/>
      <c r="AC13" s="505"/>
    </row>
    <row r="14" spans="1:29" s="113" customFormat="1" ht="69.75" customHeight="1" thickBot="1" x14ac:dyDescent="0.3">
      <c r="A14" s="509" t="s">
        <v>143</v>
      </c>
      <c r="B14" s="509" t="s">
        <v>144</v>
      </c>
      <c r="C14" s="509" t="s">
        <v>13</v>
      </c>
      <c r="D14" s="509" t="s">
        <v>14</v>
      </c>
      <c r="E14" s="509" t="s">
        <v>15</v>
      </c>
      <c r="F14" s="509" t="s">
        <v>145</v>
      </c>
      <c r="G14" s="509" t="s">
        <v>146</v>
      </c>
      <c r="H14" s="509" t="s">
        <v>147</v>
      </c>
      <c r="I14" s="509" t="s">
        <v>148</v>
      </c>
      <c r="J14" s="511" t="s">
        <v>20</v>
      </c>
      <c r="K14" s="512"/>
      <c r="L14" s="511" t="s">
        <v>21</v>
      </c>
      <c r="M14" s="512"/>
      <c r="N14" s="511" t="s">
        <v>149</v>
      </c>
      <c r="O14" s="512"/>
      <c r="P14" s="513" t="s">
        <v>150</v>
      </c>
      <c r="Q14" s="506" t="s">
        <v>151</v>
      </c>
      <c r="T14" s="104"/>
      <c r="U14" s="104"/>
      <c r="V14" s="104"/>
      <c r="W14" s="495"/>
      <c r="X14" s="495"/>
      <c r="Y14" s="495"/>
      <c r="Z14" s="495"/>
      <c r="AA14" s="495"/>
      <c r="AB14" s="495"/>
      <c r="AC14" s="495"/>
    </row>
    <row r="15" spans="1:29" s="113" customFormat="1" ht="29.25" customHeight="1" thickBot="1" x14ac:dyDescent="0.3">
      <c r="A15" s="510"/>
      <c r="B15" s="510"/>
      <c r="C15" s="510"/>
      <c r="D15" s="510"/>
      <c r="E15" s="510"/>
      <c r="F15" s="510"/>
      <c r="G15" s="510"/>
      <c r="H15" s="510"/>
      <c r="I15" s="510"/>
      <c r="J15" s="407" t="s">
        <v>24</v>
      </c>
      <c r="K15" s="407" t="s">
        <v>25</v>
      </c>
      <c r="L15" s="407" t="s">
        <v>24</v>
      </c>
      <c r="M15" s="407" t="s">
        <v>25</v>
      </c>
      <c r="N15" s="407" t="s">
        <v>24</v>
      </c>
      <c r="O15" s="407" t="s">
        <v>152</v>
      </c>
      <c r="P15" s="514"/>
      <c r="Q15" s="507"/>
      <c r="T15" s="104"/>
      <c r="U15" s="508"/>
      <c r="V15" s="508"/>
      <c r="W15" s="508"/>
      <c r="X15" s="508"/>
      <c r="Y15" s="508"/>
      <c r="Z15" s="508"/>
      <c r="AA15" s="508"/>
      <c r="AB15" s="508"/>
      <c r="AC15" s="508"/>
    </row>
    <row r="16" spans="1:29" ht="39.75" customHeight="1" x14ac:dyDescent="0.25">
      <c r="A16" s="114"/>
      <c r="B16" s="115" t="s">
        <v>153</v>
      </c>
      <c r="C16" s="115"/>
      <c r="D16" s="115"/>
      <c r="E16" s="116"/>
      <c r="F16" s="117"/>
      <c r="G16" s="117"/>
      <c r="H16" s="117"/>
      <c r="I16" s="118"/>
      <c r="J16" s="118"/>
      <c r="K16" s="118"/>
      <c r="L16" s="118"/>
      <c r="M16" s="118"/>
      <c r="N16" s="118"/>
      <c r="O16" s="118"/>
      <c r="P16" s="119"/>
      <c r="Q16" s="120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</row>
    <row r="17" spans="1:29" ht="12.75" customHeight="1" x14ac:dyDescent="0.25">
      <c r="A17" s="114">
        <v>1</v>
      </c>
      <c r="B17" s="121" t="s">
        <v>154</v>
      </c>
      <c r="C17" s="122" t="s">
        <v>30</v>
      </c>
      <c r="D17" s="122" t="s">
        <v>31</v>
      </c>
      <c r="E17" s="123">
        <v>3</v>
      </c>
      <c r="F17" s="124">
        <v>1</v>
      </c>
      <c r="G17" s="123">
        <v>5.2</v>
      </c>
      <c r="H17" s="125">
        <v>17697</v>
      </c>
      <c r="I17" s="125">
        <f t="shared" ref="I17:I22" si="0">G17*H17</f>
        <v>92024.400000000009</v>
      </c>
      <c r="J17" s="126">
        <v>0</v>
      </c>
      <c r="K17" s="124">
        <f>ROUND(I17*J17,2)+(M17*J17)</f>
        <v>0</v>
      </c>
      <c r="L17" s="126">
        <v>0.1</v>
      </c>
      <c r="M17" s="125">
        <f>ROUND(I17*L17*F17,2)</f>
        <v>9202.44</v>
      </c>
      <c r="N17" s="126">
        <v>0.3</v>
      </c>
      <c r="O17" s="124">
        <f t="shared" ref="O17:O22" si="1">ROUND(H17*N17,2)</f>
        <v>5309.1</v>
      </c>
      <c r="P17" s="127">
        <f t="shared" ref="P17:P22" si="2">ROUND((I17*F17)+M17+K17+O17,2)</f>
        <v>106535.94</v>
      </c>
      <c r="Q17" s="128">
        <f t="shared" ref="Q17:Q22" si="3">P17*12</f>
        <v>1278431.28</v>
      </c>
      <c r="S17" s="129"/>
      <c r="T17" s="404"/>
      <c r="U17" s="502"/>
      <c r="V17" s="502"/>
      <c r="W17" s="502"/>
      <c r="X17" s="502"/>
      <c r="Y17" s="502"/>
      <c r="Z17" s="502"/>
      <c r="AA17" s="502"/>
      <c r="AB17" s="502"/>
      <c r="AC17" s="502"/>
    </row>
    <row r="18" spans="1:29" ht="12.75" hidden="1" customHeight="1" x14ac:dyDescent="0.25">
      <c r="A18" s="114"/>
      <c r="B18" s="121" t="s">
        <v>32</v>
      </c>
      <c r="C18" s="122" t="s">
        <v>30</v>
      </c>
      <c r="D18" s="122" t="s">
        <v>31</v>
      </c>
      <c r="E18" s="123">
        <v>3</v>
      </c>
      <c r="F18" s="124"/>
      <c r="G18" s="124"/>
      <c r="H18" s="125">
        <v>17697</v>
      </c>
      <c r="I18" s="125">
        <f t="shared" si="0"/>
        <v>0</v>
      </c>
      <c r="J18" s="126">
        <v>0</v>
      </c>
      <c r="K18" s="124">
        <f>ROUND(I18*J18,2)+(M18*J18)</f>
        <v>0</v>
      </c>
      <c r="L18" s="126">
        <v>0.1</v>
      </c>
      <c r="M18" s="125">
        <f>ROUND(I18*L18*F18,2)</f>
        <v>0</v>
      </c>
      <c r="N18" s="126"/>
      <c r="O18" s="124">
        <f t="shared" si="1"/>
        <v>0</v>
      </c>
      <c r="P18" s="127">
        <f t="shared" si="2"/>
        <v>0</v>
      </c>
      <c r="Q18" s="128">
        <f t="shared" si="3"/>
        <v>0</v>
      </c>
      <c r="R18" s="130"/>
      <c r="S18" s="129"/>
      <c r="T18" s="404"/>
      <c r="U18" s="406"/>
      <c r="V18" s="406"/>
      <c r="W18" s="406"/>
      <c r="X18" s="406"/>
      <c r="Y18" s="406"/>
      <c r="Z18" s="406"/>
      <c r="AA18" s="406"/>
      <c r="AB18" s="406"/>
      <c r="AC18" s="406"/>
    </row>
    <row r="19" spans="1:29" ht="12.75" hidden="1" customHeight="1" x14ac:dyDescent="0.25">
      <c r="A19" s="114"/>
      <c r="B19" s="121" t="s">
        <v>33</v>
      </c>
      <c r="C19" s="131"/>
      <c r="D19" s="131"/>
      <c r="E19" s="123">
        <v>3</v>
      </c>
      <c r="F19" s="124"/>
      <c r="G19" s="124"/>
      <c r="H19" s="125">
        <v>17697</v>
      </c>
      <c r="I19" s="125">
        <f t="shared" si="0"/>
        <v>0</v>
      </c>
      <c r="J19" s="126">
        <v>0</v>
      </c>
      <c r="K19" s="124">
        <f>ROUND(I19*J19,2)+(M19*J19)</f>
        <v>0</v>
      </c>
      <c r="L19" s="126">
        <v>0.1</v>
      </c>
      <c r="M19" s="125">
        <f>ROUND(I19*L19*1.5,2)</f>
        <v>0</v>
      </c>
      <c r="N19" s="126"/>
      <c r="O19" s="124">
        <f t="shared" si="1"/>
        <v>0</v>
      </c>
      <c r="P19" s="127">
        <f t="shared" si="2"/>
        <v>0</v>
      </c>
      <c r="Q19" s="128">
        <f t="shared" si="3"/>
        <v>0</v>
      </c>
      <c r="R19" s="130"/>
      <c r="S19" s="129"/>
      <c r="T19" s="132"/>
      <c r="U19" s="129"/>
    </row>
    <row r="20" spans="1:29" ht="12.75" customHeight="1" x14ac:dyDescent="0.25">
      <c r="A20" s="114">
        <v>2</v>
      </c>
      <c r="B20" s="121" t="s">
        <v>34</v>
      </c>
      <c r="C20" s="131"/>
      <c r="D20" s="133" t="s">
        <v>37</v>
      </c>
      <c r="E20" s="134">
        <v>3</v>
      </c>
      <c r="F20" s="124">
        <v>1</v>
      </c>
      <c r="G20" s="123">
        <v>3.05</v>
      </c>
      <c r="H20" s="125">
        <v>17697</v>
      </c>
      <c r="I20" s="125">
        <f t="shared" si="0"/>
        <v>53975.85</v>
      </c>
      <c r="J20" s="126">
        <v>0</v>
      </c>
      <c r="K20" s="124">
        <f>ROUND(I20*J20,2)</f>
        <v>0</v>
      </c>
      <c r="L20" s="126">
        <v>0.1</v>
      </c>
      <c r="M20" s="125">
        <f>ROUND(I20*L20*F20,2)</f>
        <v>5397.59</v>
      </c>
      <c r="N20" s="126"/>
      <c r="O20" s="124">
        <f t="shared" si="1"/>
        <v>0</v>
      </c>
      <c r="P20" s="127">
        <f t="shared" si="2"/>
        <v>59373.440000000002</v>
      </c>
      <c r="Q20" s="128">
        <f t="shared" si="3"/>
        <v>712481.28000000003</v>
      </c>
      <c r="S20" s="129"/>
      <c r="T20" s="132"/>
      <c r="U20" s="129"/>
    </row>
    <row r="21" spans="1:29" ht="12.75" hidden="1" customHeight="1" x14ac:dyDescent="0.25">
      <c r="A21" s="114"/>
      <c r="B21" s="135" t="s">
        <v>38</v>
      </c>
      <c r="C21" s="131"/>
      <c r="D21" s="136"/>
      <c r="E21" s="134"/>
      <c r="F21" s="124"/>
      <c r="G21" s="123"/>
      <c r="H21" s="125">
        <v>17697</v>
      </c>
      <c r="I21" s="125">
        <f t="shared" si="0"/>
        <v>0</v>
      </c>
      <c r="J21" s="126">
        <v>0</v>
      </c>
      <c r="K21" s="124">
        <f>ROUND(I21*J21,2)</f>
        <v>0</v>
      </c>
      <c r="L21" s="126">
        <v>0.1</v>
      </c>
      <c r="M21" s="125">
        <f>ROUND(I21*L21*F21,2)</f>
        <v>0</v>
      </c>
      <c r="N21" s="126"/>
      <c r="O21" s="124">
        <f t="shared" si="1"/>
        <v>0</v>
      </c>
      <c r="P21" s="127">
        <f t="shared" si="2"/>
        <v>0</v>
      </c>
      <c r="Q21" s="128">
        <f t="shared" si="3"/>
        <v>0</v>
      </c>
      <c r="S21" s="129"/>
      <c r="T21" s="132"/>
      <c r="U21" s="129"/>
    </row>
    <row r="22" spans="1:29" ht="12.75" customHeight="1" thickBot="1" x14ac:dyDescent="0.3">
      <c r="A22" s="114">
        <v>3</v>
      </c>
      <c r="B22" s="131" t="s">
        <v>40</v>
      </c>
      <c r="C22" s="131"/>
      <c r="D22" s="137" t="s">
        <v>37</v>
      </c>
      <c r="E22" s="138">
        <v>2</v>
      </c>
      <c r="F22" s="124">
        <v>0.5</v>
      </c>
      <c r="G22" s="124">
        <v>3.69</v>
      </c>
      <c r="H22" s="125">
        <v>17697</v>
      </c>
      <c r="I22" s="125">
        <f t="shared" si="0"/>
        <v>65301.93</v>
      </c>
      <c r="J22" s="126">
        <v>0</v>
      </c>
      <c r="K22" s="124">
        <f>ROUND(I22*J22,2)</f>
        <v>0</v>
      </c>
      <c r="L22" s="126">
        <v>0.1</v>
      </c>
      <c r="M22" s="125">
        <f>ROUND(I22*L22*F22,2)</f>
        <v>3265.1</v>
      </c>
      <c r="N22" s="126"/>
      <c r="O22" s="124">
        <f t="shared" si="1"/>
        <v>0</v>
      </c>
      <c r="P22" s="127">
        <f t="shared" si="2"/>
        <v>35916.07</v>
      </c>
      <c r="Q22" s="128">
        <f t="shared" si="3"/>
        <v>430992.83999999997</v>
      </c>
      <c r="R22" s="130"/>
      <c r="S22" s="129"/>
      <c r="T22" s="132"/>
      <c r="U22" s="129"/>
    </row>
    <row r="23" spans="1:29" s="144" customFormat="1" ht="16.5" customHeight="1" thickBot="1" x14ac:dyDescent="0.3">
      <c r="A23" s="518" t="s">
        <v>42</v>
      </c>
      <c r="B23" s="519"/>
      <c r="C23" s="408"/>
      <c r="D23" s="408"/>
      <c r="E23" s="140"/>
      <c r="F23" s="141">
        <f>SUM(F17:F22)</f>
        <v>2.5</v>
      </c>
      <c r="G23" s="141"/>
      <c r="H23" s="141"/>
      <c r="I23" s="141">
        <f>SUM(I17:I22)</f>
        <v>211302.18</v>
      </c>
      <c r="J23" s="141"/>
      <c r="K23" s="141">
        <f>SUM(K17:K22)</f>
        <v>0</v>
      </c>
      <c r="L23" s="141"/>
      <c r="M23" s="141">
        <f>SUM(M17:M22)</f>
        <v>17865.13</v>
      </c>
      <c r="N23" s="142"/>
      <c r="O23" s="141">
        <f>SUM(O17:O22)</f>
        <v>5309.1</v>
      </c>
      <c r="P23" s="141">
        <f>ROUND(SUM(P17:P22),2)</f>
        <v>201825.45</v>
      </c>
      <c r="Q23" s="143">
        <f>SUM(Q17:Q22)</f>
        <v>2421905.4</v>
      </c>
      <c r="S23" s="145">
        <f>'[1]РАСЧЁТЫ по действующей системе'!W15</f>
        <v>129895.99</v>
      </c>
      <c r="T23" s="146">
        <f>P23-S23</f>
        <v>71929.460000000006</v>
      </c>
      <c r="U23" s="146" t="b">
        <f>IF(P23&lt;&gt;S23,FALSE,0)</f>
        <v>0</v>
      </c>
    </row>
    <row r="24" spans="1:29" ht="39.75" customHeight="1" x14ac:dyDescent="0.25">
      <c r="A24" s="114"/>
      <c r="B24" s="147" t="s">
        <v>155</v>
      </c>
      <c r="C24" s="148"/>
      <c r="D24" s="148"/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2"/>
      <c r="R24" s="130"/>
      <c r="S24" s="129"/>
      <c r="U24" s="129"/>
    </row>
    <row r="25" spans="1:29" ht="16.5" customHeight="1" x14ac:dyDescent="0.25">
      <c r="A25" s="114"/>
      <c r="B25" s="153" t="s">
        <v>46</v>
      </c>
      <c r="C25" s="154" t="s">
        <v>48</v>
      </c>
      <c r="D25" s="154" t="s">
        <v>53</v>
      </c>
      <c r="E25" s="155">
        <v>2</v>
      </c>
      <c r="F25" s="124">
        <v>0.75</v>
      </c>
      <c r="G25" s="124">
        <v>4.09</v>
      </c>
      <c r="H25" s="125">
        <v>17697</v>
      </c>
      <c r="I25" s="127">
        <f t="shared" ref="I25:I39" si="4">G25*H25</f>
        <v>72380.73</v>
      </c>
      <c r="J25" s="126">
        <v>0</v>
      </c>
      <c r="K25" s="124">
        <f t="shared" ref="K25:K41" si="5">ROUND(I25*J25,2)+(M25*J25)</f>
        <v>0</v>
      </c>
      <c r="L25" s="126">
        <v>0.1</v>
      </c>
      <c r="M25" s="125">
        <f t="shared" ref="M25:M41" si="6">ROUND(I25*L25*F25,2)</f>
        <v>5428.55</v>
      </c>
      <c r="N25" s="126">
        <v>0.4</v>
      </c>
      <c r="O25" s="124">
        <f>ROUND(H25*N25*F25,2)</f>
        <v>5309.1</v>
      </c>
      <c r="P25" s="127">
        <f t="shared" ref="P25:P37" si="7">ROUND((I25*F25)+M25+K25+O25,2)</f>
        <v>65023.199999999997</v>
      </c>
      <c r="Q25" s="128">
        <f>P25*12</f>
        <v>780278.39999999991</v>
      </c>
      <c r="S25" s="129"/>
      <c r="T25" s="132"/>
      <c r="U25" s="129"/>
    </row>
    <row r="26" spans="1:29" ht="12.75" customHeight="1" x14ac:dyDescent="0.25">
      <c r="A26" s="114">
        <v>4</v>
      </c>
      <c r="B26" s="135" t="s">
        <v>252</v>
      </c>
      <c r="C26" s="154" t="s">
        <v>48</v>
      </c>
      <c r="D26" s="154" t="s">
        <v>53</v>
      </c>
      <c r="E26" s="155">
        <v>4</v>
      </c>
      <c r="F26" s="124">
        <v>1</v>
      </c>
      <c r="G26" s="124">
        <v>3.38</v>
      </c>
      <c r="H26" s="125">
        <v>17697</v>
      </c>
      <c r="I26" s="127">
        <f t="shared" si="4"/>
        <v>59815.86</v>
      </c>
      <c r="J26" s="126">
        <v>0</v>
      </c>
      <c r="K26" s="124">
        <f t="shared" si="5"/>
        <v>0</v>
      </c>
      <c r="L26" s="126">
        <v>0.1</v>
      </c>
      <c r="M26" s="125">
        <f t="shared" si="6"/>
        <v>5981.59</v>
      </c>
      <c r="N26" s="126">
        <v>0.4</v>
      </c>
      <c r="O26" s="124">
        <f t="shared" ref="O26:O41" si="8">ROUND(H26*N26*F26,2)</f>
        <v>7078.8</v>
      </c>
      <c r="P26" s="127">
        <f t="shared" si="7"/>
        <v>72876.25</v>
      </c>
      <c r="Q26" s="128">
        <f t="shared" ref="Q26:Q41" si="9">P26*12</f>
        <v>874515</v>
      </c>
      <c r="S26" s="129"/>
      <c r="T26" s="132"/>
      <c r="U26" s="129"/>
    </row>
    <row r="27" spans="1:29" x14ac:dyDescent="0.25">
      <c r="A27" s="114">
        <v>5</v>
      </c>
      <c r="B27" s="135" t="s">
        <v>58</v>
      </c>
      <c r="C27" s="154" t="s">
        <v>48</v>
      </c>
      <c r="D27" s="133" t="s">
        <v>56</v>
      </c>
      <c r="E27" s="134">
        <v>4</v>
      </c>
      <c r="F27" s="124">
        <v>0.5</v>
      </c>
      <c r="G27" s="124">
        <v>3.72</v>
      </c>
      <c r="H27" s="125">
        <v>17697</v>
      </c>
      <c r="I27" s="127">
        <f t="shared" si="4"/>
        <v>65832.84</v>
      </c>
      <c r="J27" s="126">
        <v>0</v>
      </c>
      <c r="K27" s="124">
        <f t="shared" si="5"/>
        <v>0</v>
      </c>
      <c r="L27" s="126">
        <v>0.1</v>
      </c>
      <c r="M27" s="125">
        <f t="shared" si="6"/>
        <v>3291.64</v>
      </c>
      <c r="N27" s="126">
        <v>0.4</v>
      </c>
      <c r="O27" s="124">
        <f t="shared" si="8"/>
        <v>3539.4</v>
      </c>
      <c r="P27" s="127">
        <f t="shared" si="7"/>
        <v>39747.46</v>
      </c>
      <c r="Q27" s="128">
        <f t="shared" si="9"/>
        <v>476969.52</v>
      </c>
      <c r="S27" s="129"/>
      <c r="T27" s="132"/>
      <c r="U27" s="129"/>
    </row>
    <row r="28" spans="1:29" x14ac:dyDescent="0.25">
      <c r="A28" s="114">
        <v>6</v>
      </c>
      <c r="B28" s="135" t="s">
        <v>60</v>
      </c>
      <c r="C28" s="154" t="s">
        <v>48</v>
      </c>
      <c r="D28" s="133" t="s">
        <v>53</v>
      </c>
      <c r="E28" s="134">
        <v>4</v>
      </c>
      <c r="F28" s="124">
        <v>2</v>
      </c>
      <c r="G28" s="124">
        <v>3.08</v>
      </c>
      <c r="H28" s="125">
        <v>17697</v>
      </c>
      <c r="I28" s="125">
        <f t="shared" si="4"/>
        <v>54506.76</v>
      </c>
      <c r="J28" s="126">
        <v>0</v>
      </c>
      <c r="K28" s="124">
        <f t="shared" si="5"/>
        <v>0</v>
      </c>
      <c r="L28" s="126">
        <v>0.1</v>
      </c>
      <c r="M28" s="127">
        <f t="shared" si="6"/>
        <v>10901.35</v>
      </c>
      <c r="N28" s="126">
        <v>0.4</v>
      </c>
      <c r="O28" s="124">
        <f t="shared" si="8"/>
        <v>14157.6</v>
      </c>
      <c r="P28" s="127">
        <f t="shared" si="7"/>
        <v>134072.47</v>
      </c>
      <c r="Q28" s="128">
        <f t="shared" si="9"/>
        <v>1608869.6400000001</v>
      </c>
      <c r="R28" s="130"/>
      <c r="S28" s="129"/>
      <c r="T28" s="132"/>
      <c r="U28" s="129"/>
    </row>
    <row r="29" spans="1:29" x14ac:dyDescent="0.25">
      <c r="A29" s="114">
        <v>7</v>
      </c>
      <c r="B29" s="135" t="s">
        <v>157</v>
      </c>
      <c r="C29" s="154" t="s">
        <v>48</v>
      </c>
      <c r="D29" s="154" t="s">
        <v>53</v>
      </c>
      <c r="E29" s="155">
        <v>4</v>
      </c>
      <c r="F29" s="124">
        <v>2</v>
      </c>
      <c r="G29" s="124">
        <v>3.08</v>
      </c>
      <c r="H29" s="125">
        <v>17697</v>
      </c>
      <c r="I29" s="125">
        <f t="shared" si="4"/>
        <v>54506.76</v>
      </c>
      <c r="J29" s="126">
        <v>0</v>
      </c>
      <c r="K29" s="124">
        <f t="shared" si="5"/>
        <v>0</v>
      </c>
      <c r="L29" s="126">
        <v>0.1</v>
      </c>
      <c r="M29" s="127">
        <f t="shared" si="6"/>
        <v>10901.35</v>
      </c>
      <c r="N29" s="126">
        <v>0.4</v>
      </c>
      <c r="O29" s="124">
        <f t="shared" si="8"/>
        <v>14157.6</v>
      </c>
      <c r="P29" s="127">
        <f t="shared" si="7"/>
        <v>134072.47</v>
      </c>
      <c r="Q29" s="128">
        <f t="shared" si="9"/>
        <v>1608869.6400000001</v>
      </c>
      <c r="R29" s="130"/>
      <c r="S29" s="129"/>
      <c r="T29" s="132"/>
      <c r="U29" s="129"/>
    </row>
    <row r="30" spans="1:29" x14ac:dyDescent="0.25">
      <c r="A30" s="114"/>
      <c r="B30" s="135" t="s">
        <v>157</v>
      </c>
      <c r="C30" s="154" t="s">
        <v>48</v>
      </c>
      <c r="D30" s="154" t="s">
        <v>53</v>
      </c>
      <c r="E30" s="155">
        <v>4</v>
      </c>
      <c r="F30" s="124">
        <v>3</v>
      </c>
      <c r="G30" s="124">
        <v>3.14</v>
      </c>
      <c r="H30" s="125">
        <v>17697</v>
      </c>
      <c r="I30" s="125">
        <f t="shared" si="4"/>
        <v>55568.58</v>
      </c>
      <c r="J30" s="126">
        <v>0</v>
      </c>
      <c r="K30" s="124">
        <f t="shared" si="5"/>
        <v>0</v>
      </c>
      <c r="L30" s="126">
        <v>0.1</v>
      </c>
      <c r="M30" s="125">
        <f t="shared" si="6"/>
        <v>16670.57</v>
      </c>
      <c r="N30" s="126">
        <v>0.4</v>
      </c>
      <c r="O30" s="124">
        <f t="shared" si="8"/>
        <v>21236.400000000001</v>
      </c>
      <c r="P30" s="127">
        <f t="shared" si="7"/>
        <v>204612.71</v>
      </c>
      <c r="Q30" s="128">
        <f t="shared" si="9"/>
        <v>2455352.52</v>
      </c>
      <c r="S30" s="129"/>
      <c r="T30" s="132"/>
      <c r="U30" s="129"/>
    </row>
    <row r="31" spans="1:29" x14ac:dyDescent="0.25">
      <c r="A31" s="114"/>
      <c r="B31" s="135" t="s">
        <v>63</v>
      </c>
      <c r="C31" s="136" t="s">
        <v>48</v>
      </c>
      <c r="D31" s="136" t="s">
        <v>53</v>
      </c>
      <c r="E31" s="134">
        <v>3</v>
      </c>
      <c r="F31" s="124">
        <v>0.5</v>
      </c>
      <c r="G31" s="124">
        <v>3.73</v>
      </c>
      <c r="H31" s="125">
        <v>17697</v>
      </c>
      <c r="I31" s="125">
        <f t="shared" si="4"/>
        <v>66009.81</v>
      </c>
      <c r="J31" s="126">
        <v>0</v>
      </c>
      <c r="K31" s="124">
        <f t="shared" si="5"/>
        <v>0</v>
      </c>
      <c r="L31" s="126">
        <v>0.1</v>
      </c>
      <c r="M31" s="125">
        <f t="shared" si="6"/>
        <v>3300.49</v>
      </c>
      <c r="N31" s="126"/>
      <c r="O31" s="124">
        <f t="shared" si="8"/>
        <v>0</v>
      </c>
      <c r="P31" s="127">
        <f t="shared" si="7"/>
        <v>36305.4</v>
      </c>
      <c r="Q31" s="128">
        <f t="shared" si="9"/>
        <v>435664.80000000005</v>
      </c>
      <c r="S31" s="156"/>
      <c r="T31" s="132"/>
      <c r="U31" s="129"/>
    </row>
    <row r="32" spans="1:29" x14ac:dyDescent="0.25">
      <c r="A32" s="114">
        <v>8</v>
      </c>
      <c r="B32" s="135" t="s">
        <v>66</v>
      </c>
      <c r="C32" s="136" t="s">
        <v>48</v>
      </c>
      <c r="D32" s="136" t="s">
        <v>53</v>
      </c>
      <c r="E32" s="134">
        <v>4</v>
      </c>
      <c r="F32" s="124">
        <v>0.25</v>
      </c>
      <c r="G32" s="124">
        <v>3.65</v>
      </c>
      <c r="H32" s="125">
        <v>17697</v>
      </c>
      <c r="I32" s="125">
        <f t="shared" si="4"/>
        <v>64594.049999999996</v>
      </c>
      <c r="J32" s="126">
        <v>0</v>
      </c>
      <c r="K32" s="124">
        <f t="shared" si="5"/>
        <v>0</v>
      </c>
      <c r="L32" s="126">
        <v>0.1</v>
      </c>
      <c r="M32" s="125">
        <f t="shared" si="6"/>
        <v>1614.85</v>
      </c>
      <c r="N32" s="126">
        <v>0.4</v>
      </c>
      <c r="O32" s="124">
        <f t="shared" si="8"/>
        <v>1769.7</v>
      </c>
      <c r="P32" s="127">
        <f>ROUND((I32*F32)+M32+K32+O32,2)-0.01</f>
        <v>19533.050000000003</v>
      </c>
      <c r="Q32" s="128">
        <f t="shared" si="9"/>
        <v>234396.60000000003</v>
      </c>
      <c r="S32" s="129"/>
      <c r="T32" s="132"/>
      <c r="U32" s="129"/>
    </row>
    <row r="33" spans="1:24" x14ac:dyDescent="0.25">
      <c r="A33" s="114">
        <v>9</v>
      </c>
      <c r="B33" s="135" t="s">
        <v>68</v>
      </c>
      <c r="C33" s="136" t="s">
        <v>48</v>
      </c>
      <c r="D33" s="136" t="s">
        <v>53</v>
      </c>
      <c r="E33" s="134">
        <v>4</v>
      </c>
      <c r="F33" s="124">
        <v>0.25</v>
      </c>
      <c r="G33" s="124">
        <v>3.65</v>
      </c>
      <c r="H33" s="125">
        <v>17697</v>
      </c>
      <c r="I33" s="125">
        <f t="shared" si="4"/>
        <v>64594.049999999996</v>
      </c>
      <c r="J33" s="126">
        <v>0</v>
      </c>
      <c r="K33" s="124">
        <f t="shared" si="5"/>
        <v>0</v>
      </c>
      <c r="L33" s="126">
        <v>0.1</v>
      </c>
      <c r="M33" s="125">
        <f t="shared" si="6"/>
        <v>1614.85</v>
      </c>
      <c r="N33" s="126">
        <v>0.4</v>
      </c>
      <c r="O33" s="124">
        <f t="shared" si="8"/>
        <v>1769.7</v>
      </c>
      <c r="P33" s="127">
        <f t="shared" si="7"/>
        <v>19533.060000000001</v>
      </c>
      <c r="Q33" s="128">
        <f t="shared" si="9"/>
        <v>234396.72000000003</v>
      </c>
      <c r="S33" s="129"/>
      <c r="T33" s="132"/>
      <c r="U33" s="129"/>
    </row>
    <row r="34" spans="1:24" x14ac:dyDescent="0.25">
      <c r="A34" s="114">
        <v>10</v>
      </c>
      <c r="B34" s="135" t="s">
        <v>71</v>
      </c>
      <c r="C34" s="136" t="s">
        <v>48</v>
      </c>
      <c r="D34" s="136" t="s">
        <v>49</v>
      </c>
      <c r="E34" s="134">
        <v>4</v>
      </c>
      <c r="F34" s="124">
        <v>1</v>
      </c>
      <c r="G34" s="124">
        <v>2.68</v>
      </c>
      <c r="H34" s="125">
        <v>17697</v>
      </c>
      <c r="I34" s="125">
        <f t="shared" si="4"/>
        <v>47427.960000000006</v>
      </c>
      <c r="J34" s="126">
        <v>0</v>
      </c>
      <c r="K34" s="124">
        <f t="shared" si="5"/>
        <v>0</v>
      </c>
      <c r="L34" s="126">
        <v>0.1</v>
      </c>
      <c r="M34" s="125">
        <f t="shared" si="6"/>
        <v>4742.8</v>
      </c>
      <c r="N34" s="126">
        <v>0.4</v>
      </c>
      <c r="O34" s="124">
        <f t="shared" si="8"/>
        <v>7078.8</v>
      </c>
      <c r="P34" s="127">
        <f t="shared" si="7"/>
        <v>59249.56</v>
      </c>
      <c r="Q34" s="128">
        <f t="shared" si="9"/>
        <v>710994.72</v>
      </c>
      <c r="R34" s="130"/>
      <c r="S34" s="129"/>
      <c r="T34" s="132"/>
      <c r="U34" s="129"/>
    </row>
    <row r="35" spans="1:24" x14ac:dyDescent="0.25">
      <c r="A35" s="114">
        <v>11</v>
      </c>
      <c r="B35" s="135" t="s">
        <v>158</v>
      </c>
      <c r="C35" s="136" t="s">
        <v>48</v>
      </c>
      <c r="D35" s="136" t="s">
        <v>49</v>
      </c>
      <c r="E35" s="134">
        <v>4</v>
      </c>
      <c r="F35" s="124">
        <v>0.5</v>
      </c>
      <c r="G35" s="124">
        <v>2.68</v>
      </c>
      <c r="H35" s="125">
        <v>17697</v>
      </c>
      <c r="I35" s="125">
        <f t="shared" si="4"/>
        <v>47427.960000000006</v>
      </c>
      <c r="J35" s="126">
        <v>0</v>
      </c>
      <c r="K35" s="124">
        <f t="shared" si="5"/>
        <v>0</v>
      </c>
      <c r="L35" s="126">
        <v>0.1</v>
      </c>
      <c r="M35" s="125">
        <f t="shared" si="6"/>
        <v>2371.4</v>
      </c>
      <c r="N35" s="126">
        <v>0.4</v>
      </c>
      <c r="O35" s="124">
        <f t="shared" si="8"/>
        <v>3539.4</v>
      </c>
      <c r="P35" s="127">
        <f t="shared" si="7"/>
        <v>29624.78</v>
      </c>
      <c r="Q35" s="128">
        <f t="shared" si="9"/>
        <v>355497.36</v>
      </c>
      <c r="R35" s="130"/>
      <c r="S35" s="129"/>
      <c r="T35" s="132"/>
      <c r="U35" s="129"/>
    </row>
    <row r="36" spans="1:24" x14ac:dyDescent="0.25">
      <c r="A36" s="114">
        <v>12</v>
      </c>
      <c r="B36" s="135" t="s">
        <v>73</v>
      </c>
      <c r="C36" s="136"/>
      <c r="D36" s="136" t="s">
        <v>37</v>
      </c>
      <c r="E36" s="134">
        <v>2</v>
      </c>
      <c r="F36" s="124">
        <v>1</v>
      </c>
      <c r="G36" s="124">
        <v>3.15</v>
      </c>
      <c r="H36" s="125">
        <v>17697</v>
      </c>
      <c r="I36" s="125">
        <f t="shared" si="4"/>
        <v>55745.549999999996</v>
      </c>
      <c r="J36" s="126">
        <v>0</v>
      </c>
      <c r="K36" s="124">
        <f t="shared" si="5"/>
        <v>0</v>
      </c>
      <c r="L36" s="126">
        <v>0.1</v>
      </c>
      <c r="M36" s="125">
        <f t="shared" si="6"/>
        <v>5574.56</v>
      </c>
      <c r="N36" s="126"/>
      <c r="O36" s="124">
        <f t="shared" si="8"/>
        <v>0</v>
      </c>
      <c r="P36" s="127">
        <f t="shared" si="7"/>
        <v>61320.11</v>
      </c>
      <c r="Q36" s="128">
        <f t="shared" si="9"/>
        <v>735841.32000000007</v>
      </c>
      <c r="R36" s="130"/>
      <c r="S36" s="129"/>
      <c r="T36" s="132"/>
      <c r="U36" s="129"/>
    </row>
    <row r="37" spans="1:24" ht="31.5" x14ac:dyDescent="0.25">
      <c r="A37" s="114">
        <v>13</v>
      </c>
      <c r="B37" s="135" t="s">
        <v>159</v>
      </c>
      <c r="C37" s="136" t="s">
        <v>48</v>
      </c>
      <c r="D37" s="136" t="s">
        <v>56</v>
      </c>
      <c r="E37" s="134">
        <v>4</v>
      </c>
      <c r="F37" s="124">
        <v>1.25</v>
      </c>
      <c r="G37" s="157" t="s">
        <v>212</v>
      </c>
      <c r="H37" s="125">
        <v>17697</v>
      </c>
      <c r="I37" s="125">
        <f t="shared" si="4"/>
        <v>59992.83</v>
      </c>
      <c r="J37" s="126">
        <v>0</v>
      </c>
      <c r="K37" s="124">
        <f t="shared" si="5"/>
        <v>0</v>
      </c>
      <c r="L37" s="126">
        <v>0.1</v>
      </c>
      <c r="M37" s="125">
        <f t="shared" si="6"/>
        <v>7499.1</v>
      </c>
      <c r="N37" s="126">
        <v>0.4</v>
      </c>
      <c r="O37" s="124">
        <f t="shared" si="8"/>
        <v>8848.5</v>
      </c>
      <c r="P37" s="127">
        <f t="shared" si="7"/>
        <v>91338.64</v>
      </c>
      <c r="Q37" s="128">
        <f t="shared" si="9"/>
        <v>1096063.68</v>
      </c>
      <c r="R37" s="130"/>
      <c r="S37" s="129"/>
      <c r="T37" s="132"/>
      <c r="U37" s="129"/>
    </row>
    <row r="38" spans="1:24" x14ac:dyDescent="0.25">
      <c r="A38" s="114">
        <v>14</v>
      </c>
      <c r="B38" s="135" t="s">
        <v>78</v>
      </c>
      <c r="C38" s="136" t="s">
        <v>48</v>
      </c>
      <c r="D38" s="136" t="s">
        <v>56</v>
      </c>
      <c r="E38" s="134">
        <v>4</v>
      </c>
      <c r="F38" s="124">
        <v>12.5</v>
      </c>
      <c r="G38" s="124">
        <v>3.17</v>
      </c>
      <c r="H38" s="125">
        <v>17697</v>
      </c>
      <c r="I38" s="125">
        <v>580461.6</v>
      </c>
      <c r="J38" s="126">
        <v>0</v>
      </c>
      <c r="K38" s="124">
        <f t="shared" si="5"/>
        <v>0</v>
      </c>
      <c r="L38" s="126">
        <v>0.1</v>
      </c>
      <c r="M38" s="125">
        <v>72557.710000000006</v>
      </c>
      <c r="N38" s="126">
        <v>0.4</v>
      </c>
      <c r="O38" s="124">
        <f t="shared" si="8"/>
        <v>88485</v>
      </c>
      <c r="P38" s="127">
        <v>886619.72</v>
      </c>
      <c r="Q38" s="128">
        <f t="shared" si="9"/>
        <v>10639436.640000001</v>
      </c>
      <c r="R38" s="130"/>
      <c r="S38" s="129"/>
      <c r="T38" s="132"/>
      <c r="U38" s="129"/>
    </row>
    <row r="39" spans="1:24" ht="31.5" x14ac:dyDescent="0.25">
      <c r="A39" s="114">
        <v>15</v>
      </c>
      <c r="B39" s="135" t="s">
        <v>92</v>
      </c>
      <c r="C39" s="131"/>
      <c r="D39" s="131"/>
      <c r="E39" s="134" t="s">
        <v>94</v>
      </c>
      <c r="F39" s="124">
        <v>0.25</v>
      </c>
      <c r="G39" s="124">
        <v>1.84</v>
      </c>
      <c r="H39" s="125">
        <v>17697</v>
      </c>
      <c r="I39" s="125">
        <f t="shared" si="4"/>
        <v>32562.480000000003</v>
      </c>
      <c r="J39" s="126">
        <v>0</v>
      </c>
      <c r="K39" s="124">
        <f t="shared" si="5"/>
        <v>0</v>
      </c>
      <c r="L39" s="126">
        <v>0.1</v>
      </c>
      <c r="M39" s="125">
        <f t="shared" si="6"/>
        <v>814.06</v>
      </c>
      <c r="N39" s="126"/>
      <c r="O39" s="124"/>
      <c r="P39" s="127">
        <f>ROUND((I39*F39)+M39+K39+O39,2)</f>
        <v>8954.68</v>
      </c>
      <c r="Q39" s="128">
        <f t="shared" si="9"/>
        <v>107456.16</v>
      </c>
      <c r="S39" s="129"/>
      <c r="T39" s="132"/>
      <c r="U39" s="129"/>
    </row>
    <row r="40" spans="1:24" x14ac:dyDescent="0.25">
      <c r="A40" s="114">
        <v>16</v>
      </c>
      <c r="B40" s="135" t="s">
        <v>95</v>
      </c>
      <c r="C40" s="131"/>
      <c r="D40" s="131"/>
      <c r="E40" s="134" t="s">
        <v>94</v>
      </c>
      <c r="F40" s="123">
        <v>6.25</v>
      </c>
      <c r="G40" s="124">
        <v>1.704</v>
      </c>
      <c r="H40" s="125">
        <v>17697</v>
      </c>
      <c r="I40" s="125">
        <v>153609.96</v>
      </c>
      <c r="J40" s="126">
        <v>0</v>
      </c>
      <c r="K40" s="124">
        <f t="shared" si="5"/>
        <v>0</v>
      </c>
      <c r="L40" s="126">
        <v>0.1</v>
      </c>
      <c r="M40" s="125">
        <v>19201.259999999998</v>
      </c>
      <c r="N40" s="126">
        <v>0.7</v>
      </c>
      <c r="O40" s="124">
        <f t="shared" si="8"/>
        <v>77424.38</v>
      </c>
      <c r="P40" s="127">
        <v>288638.11</v>
      </c>
      <c r="Q40" s="128">
        <f t="shared" si="9"/>
        <v>3463657.32</v>
      </c>
      <c r="R40" s="158"/>
      <c r="S40" s="129"/>
      <c r="T40" s="132"/>
      <c r="W40" s="158"/>
      <c r="X40" s="158"/>
    </row>
    <row r="41" spans="1:24" ht="32.25" thickBot="1" x14ac:dyDescent="0.3">
      <c r="A41" s="114">
        <v>17</v>
      </c>
      <c r="B41" s="135" t="s">
        <v>99</v>
      </c>
      <c r="C41" s="136" t="s">
        <v>48</v>
      </c>
      <c r="D41" s="136" t="s">
        <v>56</v>
      </c>
      <c r="E41" s="134">
        <v>1</v>
      </c>
      <c r="F41" s="123">
        <v>1.25</v>
      </c>
      <c r="G41" s="124">
        <v>4.26</v>
      </c>
      <c r="H41" s="125">
        <v>17697</v>
      </c>
      <c r="I41" s="125">
        <f>G41*H41</f>
        <v>75389.22</v>
      </c>
      <c r="J41" s="126">
        <v>0</v>
      </c>
      <c r="K41" s="124">
        <f t="shared" si="5"/>
        <v>0</v>
      </c>
      <c r="L41" s="126">
        <v>0.1</v>
      </c>
      <c r="M41" s="125">
        <f t="shared" si="6"/>
        <v>9423.65</v>
      </c>
      <c r="N41" s="126">
        <v>0.4</v>
      </c>
      <c r="O41" s="124">
        <f t="shared" si="8"/>
        <v>8848.5</v>
      </c>
      <c r="P41" s="127">
        <f>ROUND((I41*F41)+M41+K41+O41,2)</f>
        <v>112508.68</v>
      </c>
      <c r="Q41" s="128">
        <f t="shared" si="9"/>
        <v>1350104.16</v>
      </c>
      <c r="S41" s="129"/>
      <c r="T41" s="132"/>
      <c r="U41" s="129"/>
    </row>
    <row r="42" spans="1:24" s="411" customFormat="1" ht="16.5" thickBot="1" x14ac:dyDescent="0.3">
      <c r="A42" s="518" t="s">
        <v>160</v>
      </c>
      <c r="B42" s="519"/>
      <c r="C42" s="408"/>
      <c r="D42" s="408"/>
      <c r="E42" s="140"/>
      <c r="F42" s="159">
        <f>SUM(F25:F41)</f>
        <v>34.25</v>
      </c>
      <c r="G42" s="159"/>
      <c r="H42" s="159"/>
      <c r="I42" s="141">
        <f>SUM(I25:I41)+54506.76+55568.58+55568.68</f>
        <v>1776071.0199999998</v>
      </c>
      <c r="J42" s="141"/>
      <c r="K42" s="141">
        <f>SUM(K25:K41)</f>
        <v>0</v>
      </c>
      <c r="L42" s="141"/>
      <c r="M42" s="141">
        <f>SUM(M25:M41)-M41</f>
        <v>172466.13</v>
      </c>
      <c r="N42" s="142"/>
      <c r="O42" s="141">
        <f>SUM(O25:O41)</f>
        <v>263242.88</v>
      </c>
      <c r="P42" s="141">
        <f>SUM(P25:P41)</f>
        <v>2264030.35</v>
      </c>
      <c r="Q42" s="143">
        <f>P42*12</f>
        <v>27168364.200000003</v>
      </c>
      <c r="S42" s="145">
        <f>'[1]РАСЧЁТЫ по действующей системе'!W92</f>
        <v>1704283.07</v>
      </c>
      <c r="T42" s="146">
        <f>P42-S42</f>
        <v>559747.28</v>
      </c>
      <c r="U42" s="146" t="b">
        <f>IF(P42&lt;&gt;S42,FALSE,0)</f>
        <v>0</v>
      </c>
      <c r="V42" s="161"/>
    </row>
    <row r="43" spans="1:24" ht="47.25" x14ac:dyDescent="0.25">
      <c r="A43" s="114"/>
      <c r="B43" s="162" t="s">
        <v>161</v>
      </c>
      <c r="C43" s="163"/>
      <c r="D43" s="163"/>
      <c r="E43" s="149"/>
      <c r="F43" s="164"/>
      <c r="G43" s="164"/>
      <c r="H43" s="164"/>
      <c r="I43" s="150"/>
      <c r="J43" s="150"/>
      <c r="K43" s="150"/>
      <c r="L43" s="150"/>
      <c r="M43" s="150"/>
      <c r="N43" s="150"/>
      <c r="O43" s="150"/>
      <c r="P43" s="151"/>
      <c r="Q43" s="152"/>
      <c r="S43" s="132"/>
      <c r="T43" s="132"/>
      <c r="U43" s="132"/>
    </row>
    <row r="44" spans="1:24" x14ac:dyDescent="0.25">
      <c r="A44" s="114">
        <v>18</v>
      </c>
      <c r="B44" s="165" t="s">
        <v>106</v>
      </c>
      <c r="C44" s="166"/>
      <c r="D44" s="166"/>
      <c r="E44" s="167"/>
      <c r="F44" s="123">
        <v>2</v>
      </c>
      <c r="G44" s="124">
        <v>2.1</v>
      </c>
      <c r="H44" s="125">
        <v>17697</v>
      </c>
      <c r="I44" s="125">
        <f t="shared" ref="I44:I53" si="10">G44*H44</f>
        <v>37163.700000000004</v>
      </c>
      <c r="J44" s="126">
        <v>0</v>
      </c>
      <c r="K44" s="124">
        <f t="shared" ref="K44:K53" si="11">ROUND(I44*J44,2)</f>
        <v>0</v>
      </c>
      <c r="L44" s="126">
        <v>0.1</v>
      </c>
      <c r="M44" s="125">
        <f t="shared" ref="M44:M53" si="12">ROUND(I44*L44*F44,2)</f>
        <v>7432.74</v>
      </c>
      <c r="N44" s="126">
        <v>0.6</v>
      </c>
      <c r="O44" s="124">
        <f t="shared" ref="O44:O53" si="13">ROUND(H44*N44,2)</f>
        <v>10618.2</v>
      </c>
      <c r="P44" s="127">
        <f>ROUND((I44*F44)+M44+K44+O44,2)</f>
        <v>92378.34</v>
      </c>
      <c r="Q44" s="128">
        <f>P44*12</f>
        <v>1108540.08</v>
      </c>
      <c r="S44" s="129"/>
      <c r="T44" s="132"/>
      <c r="U44" s="129"/>
    </row>
    <row r="45" spans="1:24" x14ac:dyDescent="0.25">
      <c r="A45" s="114">
        <v>19</v>
      </c>
      <c r="B45" s="165" t="s">
        <v>109</v>
      </c>
      <c r="C45" s="166"/>
      <c r="D45" s="166"/>
      <c r="E45" s="167"/>
      <c r="F45" s="123">
        <v>0.5</v>
      </c>
      <c r="G45" s="124">
        <v>1.71</v>
      </c>
      <c r="H45" s="125">
        <v>17697</v>
      </c>
      <c r="I45" s="125">
        <f t="shared" si="10"/>
        <v>30261.87</v>
      </c>
      <c r="J45" s="126">
        <v>0</v>
      </c>
      <c r="K45" s="124">
        <f t="shared" si="11"/>
        <v>0</v>
      </c>
      <c r="L45" s="126">
        <v>0.1</v>
      </c>
      <c r="M45" s="125">
        <f t="shared" si="12"/>
        <v>1513.09</v>
      </c>
      <c r="N45" s="168"/>
      <c r="O45" s="124">
        <f t="shared" si="13"/>
        <v>0</v>
      </c>
      <c r="P45" s="127">
        <f t="shared" ref="P45:P53" si="14">ROUND((I45*F45)+M45+K45+O45,2)</f>
        <v>16644.03</v>
      </c>
      <c r="Q45" s="128">
        <f t="shared" ref="Q45:Q53" si="15">P45*12</f>
        <v>199728.36</v>
      </c>
      <c r="R45" s="130"/>
      <c r="S45" s="129"/>
      <c r="T45" s="132"/>
      <c r="U45" s="129"/>
    </row>
    <row r="46" spans="1:24" x14ac:dyDescent="0.25">
      <c r="A46" s="114">
        <v>20</v>
      </c>
      <c r="B46" s="165" t="s">
        <v>111</v>
      </c>
      <c r="C46" s="166"/>
      <c r="D46" s="166"/>
      <c r="E46" s="167"/>
      <c r="F46" s="123">
        <v>0.5</v>
      </c>
      <c r="G46" s="123">
        <v>1.83</v>
      </c>
      <c r="H46" s="125">
        <v>17697</v>
      </c>
      <c r="I46" s="125">
        <f t="shared" si="10"/>
        <v>32385.510000000002</v>
      </c>
      <c r="J46" s="126">
        <v>0</v>
      </c>
      <c r="K46" s="124">
        <f t="shared" si="11"/>
        <v>0</v>
      </c>
      <c r="L46" s="126">
        <v>0.1</v>
      </c>
      <c r="M46" s="125">
        <f t="shared" si="12"/>
        <v>1619.28</v>
      </c>
      <c r="N46" s="126"/>
      <c r="O46" s="124">
        <f t="shared" si="13"/>
        <v>0</v>
      </c>
      <c r="P46" s="127">
        <f t="shared" si="14"/>
        <v>17812.04</v>
      </c>
      <c r="Q46" s="128">
        <f t="shared" si="15"/>
        <v>213744.48</v>
      </c>
      <c r="S46" s="132"/>
      <c r="T46" s="132"/>
      <c r="U46" s="129"/>
    </row>
    <row r="47" spans="1:24" ht="31.5" x14ac:dyDescent="0.25">
      <c r="A47" s="114">
        <v>21</v>
      </c>
      <c r="B47" s="169" t="s">
        <v>112</v>
      </c>
      <c r="C47" s="166"/>
      <c r="D47" s="166"/>
      <c r="E47" s="170"/>
      <c r="F47" s="123">
        <v>1</v>
      </c>
      <c r="G47" s="123">
        <v>1.71</v>
      </c>
      <c r="H47" s="125">
        <v>17697</v>
      </c>
      <c r="I47" s="125">
        <f t="shared" si="10"/>
        <v>30261.87</v>
      </c>
      <c r="J47" s="126">
        <v>0</v>
      </c>
      <c r="K47" s="124">
        <f t="shared" si="11"/>
        <v>0</v>
      </c>
      <c r="L47" s="126">
        <v>0.1</v>
      </c>
      <c r="M47" s="125">
        <f t="shared" si="12"/>
        <v>3026.19</v>
      </c>
      <c r="N47" s="126">
        <v>0.3</v>
      </c>
      <c r="O47" s="124">
        <f t="shared" si="13"/>
        <v>5309.1</v>
      </c>
      <c r="P47" s="127">
        <f t="shared" si="14"/>
        <v>38597.160000000003</v>
      </c>
      <c r="Q47" s="128">
        <f t="shared" si="15"/>
        <v>463165.92000000004</v>
      </c>
      <c r="S47" s="132"/>
      <c r="T47" s="132"/>
      <c r="U47" s="129"/>
    </row>
    <row r="48" spans="1:24" ht="31.5" x14ac:dyDescent="0.25">
      <c r="A48" s="114">
        <v>22</v>
      </c>
      <c r="B48" s="169" t="s">
        <v>113</v>
      </c>
      <c r="C48" s="166"/>
      <c r="D48" s="166"/>
      <c r="E48" s="170"/>
      <c r="F48" s="123">
        <v>1</v>
      </c>
      <c r="G48" s="123">
        <v>1.71</v>
      </c>
      <c r="H48" s="125">
        <v>17697</v>
      </c>
      <c r="I48" s="125">
        <f t="shared" si="10"/>
        <v>30261.87</v>
      </c>
      <c r="J48" s="126">
        <v>0</v>
      </c>
      <c r="K48" s="124">
        <f t="shared" si="11"/>
        <v>0</v>
      </c>
      <c r="L48" s="126">
        <v>0.1</v>
      </c>
      <c r="M48" s="125">
        <f t="shared" si="12"/>
        <v>3026.19</v>
      </c>
      <c r="N48" s="126">
        <v>0.3</v>
      </c>
      <c r="O48" s="124">
        <f t="shared" si="13"/>
        <v>5309.1</v>
      </c>
      <c r="P48" s="127">
        <f t="shared" si="14"/>
        <v>38597.160000000003</v>
      </c>
      <c r="Q48" s="128">
        <f t="shared" si="15"/>
        <v>463165.92000000004</v>
      </c>
      <c r="S48" s="132"/>
      <c r="T48" s="132"/>
      <c r="U48" s="129"/>
    </row>
    <row r="49" spans="1:21" ht="31.5" x14ac:dyDescent="0.25">
      <c r="A49" s="114">
        <v>23</v>
      </c>
      <c r="B49" s="169" t="s">
        <v>114</v>
      </c>
      <c r="C49" s="166"/>
      <c r="D49" s="166"/>
      <c r="E49" s="167"/>
      <c r="F49" s="123">
        <v>1</v>
      </c>
      <c r="G49" s="123">
        <v>1.71</v>
      </c>
      <c r="H49" s="125">
        <v>17697</v>
      </c>
      <c r="I49" s="125">
        <f t="shared" si="10"/>
        <v>30261.87</v>
      </c>
      <c r="J49" s="126">
        <v>0</v>
      </c>
      <c r="K49" s="124">
        <f t="shared" si="11"/>
        <v>0</v>
      </c>
      <c r="L49" s="126">
        <v>0.1</v>
      </c>
      <c r="M49" s="125">
        <f t="shared" si="12"/>
        <v>3026.19</v>
      </c>
      <c r="N49" s="126"/>
      <c r="O49" s="124">
        <f t="shared" si="13"/>
        <v>0</v>
      </c>
      <c r="P49" s="127">
        <f t="shared" si="14"/>
        <v>33288.06</v>
      </c>
      <c r="Q49" s="128">
        <f t="shared" si="15"/>
        <v>399456.72</v>
      </c>
      <c r="S49" s="129"/>
      <c r="T49" s="132"/>
      <c r="U49" s="129"/>
    </row>
    <row r="50" spans="1:21" x14ac:dyDescent="0.25">
      <c r="A50" s="114">
        <v>24</v>
      </c>
      <c r="B50" s="169" t="s">
        <v>115</v>
      </c>
      <c r="C50" s="131"/>
      <c r="D50" s="131"/>
      <c r="E50" s="123"/>
      <c r="F50" s="123">
        <v>1</v>
      </c>
      <c r="G50" s="123">
        <v>1.96</v>
      </c>
      <c r="H50" s="125">
        <v>17697</v>
      </c>
      <c r="I50" s="125">
        <f t="shared" si="10"/>
        <v>34686.120000000003</v>
      </c>
      <c r="J50" s="126">
        <v>0</v>
      </c>
      <c r="K50" s="124">
        <f t="shared" si="11"/>
        <v>0</v>
      </c>
      <c r="L50" s="126">
        <v>0.1</v>
      </c>
      <c r="M50" s="125">
        <f t="shared" si="12"/>
        <v>3468.61</v>
      </c>
      <c r="N50" s="126"/>
      <c r="O50" s="124">
        <f t="shared" si="13"/>
        <v>0</v>
      </c>
      <c r="P50" s="127">
        <f t="shared" si="14"/>
        <v>38154.730000000003</v>
      </c>
      <c r="Q50" s="128">
        <f t="shared" si="15"/>
        <v>457856.76</v>
      </c>
      <c r="S50" s="132"/>
      <c r="T50" s="132"/>
      <c r="U50" s="129"/>
    </row>
    <row r="51" spans="1:21" x14ac:dyDescent="0.25">
      <c r="A51" s="114">
        <v>25</v>
      </c>
      <c r="B51" s="169" t="s">
        <v>117</v>
      </c>
      <c r="C51" s="131"/>
      <c r="D51" s="131"/>
      <c r="E51" s="123"/>
      <c r="F51" s="123">
        <v>0.5</v>
      </c>
      <c r="G51" s="123">
        <v>1.96</v>
      </c>
      <c r="H51" s="125">
        <v>17697</v>
      </c>
      <c r="I51" s="125">
        <f t="shared" si="10"/>
        <v>34686.120000000003</v>
      </c>
      <c r="J51" s="126">
        <v>0</v>
      </c>
      <c r="K51" s="124">
        <f t="shared" si="11"/>
        <v>0</v>
      </c>
      <c r="L51" s="126">
        <v>0.1</v>
      </c>
      <c r="M51" s="125">
        <f t="shared" si="12"/>
        <v>1734.31</v>
      </c>
      <c r="N51" s="126"/>
      <c r="O51" s="124">
        <f t="shared" si="13"/>
        <v>0</v>
      </c>
      <c r="P51" s="127">
        <f t="shared" si="14"/>
        <v>19077.37</v>
      </c>
      <c r="Q51" s="128">
        <f t="shared" si="15"/>
        <v>228928.44</v>
      </c>
      <c r="S51" s="132"/>
      <c r="T51" s="132"/>
      <c r="U51" s="129"/>
    </row>
    <row r="52" spans="1:21" x14ac:dyDescent="0.25">
      <c r="A52" s="114">
        <v>26</v>
      </c>
      <c r="B52" s="171" t="s">
        <v>119</v>
      </c>
      <c r="C52" s="166"/>
      <c r="D52" s="166"/>
      <c r="E52" s="170"/>
      <c r="F52" s="123">
        <v>3</v>
      </c>
      <c r="G52" s="123">
        <v>1.6</v>
      </c>
      <c r="H52" s="125">
        <v>17697</v>
      </c>
      <c r="I52" s="125">
        <f t="shared" si="10"/>
        <v>28315.200000000001</v>
      </c>
      <c r="J52" s="126">
        <v>0</v>
      </c>
      <c r="K52" s="124">
        <f t="shared" si="11"/>
        <v>0</v>
      </c>
      <c r="L52" s="126">
        <v>0.1</v>
      </c>
      <c r="M52" s="125">
        <f t="shared" si="12"/>
        <v>8494.56</v>
      </c>
      <c r="N52" s="126"/>
      <c r="O52" s="124">
        <v>25898.04</v>
      </c>
      <c r="P52" s="127">
        <f t="shared" si="14"/>
        <v>119338.2</v>
      </c>
      <c r="Q52" s="128">
        <f t="shared" si="15"/>
        <v>1432058.4</v>
      </c>
      <c r="S52" s="132"/>
      <c r="T52" s="132"/>
      <c r="U52" s="129"/>
    </row>
    <row r="53" spans="1:21" ht="16.5" thickBot="1" x14ac:dyDescent="0.3">
      <c r="A53" s="114">
        <v>27</v>
      </c>
      <c r="B53" s="172" t="s">
        <v>120</v>
      </c>
      <c r="C53" s="166"/>
      <c r="D53" s="166"/>
      <c r="E53" s="167"/>
      <c r="F53" s="123">
        <v>1</v>
      </c>
      <c r="G53" s="124">
        <v>1.71</v>
      </c>
      <c r="H53" s="125">
        <v>17697</v>
      </c>
      <c r="I53" s="125">
        <f t="shared" si="10"/>
        <v>30261.87</v>
      </c>
      <c r="J53" s="126">
        <v>0</v>
      </c>
      <c r="K53" s="124">
        <f t="shared" si="11"/>
        <v>0</v>
      </c>
      <c r="L53" s="126">
        <v>0.1</v>
      </c>
      <c r="M53" s="125">
        <f t="shared" si="12"/>
        <v>3026.19</v>
      </c>
      <c r="N53" s="126"/>
      <c r="O53" s="124">
        <f t="shared" si="13"/>
        <v>0</v>
      </c>
      <c r="P53" s="127">
        <f t="shared" si="14"/>
        <v>33288.06</v>
      </c>
      <c r="Q53" s="128">
        <f t="shared" si="15"/>
        <v>399456.72</v>
      </c>
      <c r="R53" s="130"/>
      <c r="S53" s="129"/>
      <c r="T53" s="132"/>
      <c r="U53" s="129"/>
    </row>
    <row r="54" spans="1:21" s="411" customFormat="1" ht="16.5" thickBot="1" x14ac:dyDescent="0.3">
      <c r="A54" s="520" t="s">
        <v>121</v>
      </c>
      <c r="B54" s="521"/>
      <c r="C54" s="173"/>
      <c r="D54" s="173"/>
      <c r="E54" s="174"/>
      <c r="F54" s="175">
        <f>SUM(F43:F53)</f>
        <v>11.5</v>
      </c>
      <c r="G54" s="176"/>
      <c r="H54" s="175"/>
      <c r="I54" s="175"/>
      <c r="J54" s="175"/>
      <c r="K54" s="175">
        <f>SUM(K43:K53)</f>
        <v>0</v>
      </c>
      <c r="L54" s="175"/>
      <c r="M54" s="175">
        <f>SUM(M43:M53)</f>
        <v>36367.350000000006</v>
      </c>
      <c r="N54" s="177"/>
      <c r="O54" s="175">
        <f>SUM(O43:O53)</f>
        <v>47134.44</v>
      </c>
      <c r="P54" s="175">
        <f>SUM(P44:P53)-0.77</f>
        <v>447174.38</v>
      </c>
      <c r="Q54" s="178">
        <f>SUM(Q43:Q53)-9.24</f>
        <v>5366092.5599999987</v>
      </c>
      <c r="S54" s="179">
        <f>'[1]РАСЧЁТЫ по действующей системе'!W121</f>
        <v>381923.53</v>
      </c>
      <c r="T54" s="180">
        <f>P54-S54</f>
        <v>65250.849999999977</v>
      </c>
      <c r="U54" s="146" t="b">
        <f>IF(P54&lt;&gt;S54,FALSE,0)</f>
        <v>0</v>
      </c>
    </row>
    <row r="55" spans="1:21" s="411" customFormat="1" ht="16.5" thickBot="1" x14ac:dyDescent="0.3">
      <c r="A55" s="522" t="s">
        <v>162</v>
      </c>
      <c r="B55" s="523"/>
      <c r="C55" s="409"/>
      <c r="D55" s="409"/>
      <c r="E55" s="182"/>
      <c r="F55" s="183">
        <f>F23+F42+F54</f>
        <v>48.25</v>
      </c>
      <c r="G55" s="182"/>
      <c r="H55" s="182"/>
      <c r="I55" s="183"/>
      <c r="J55" s="183">
        <f>J23+J42+J54</f>
        <v>0</v>
      </c>
      <c r="K55" s="183">
        <f>K23+K42+K54</f>
        <v>0</v>
      </c>
      <c r="L55" s="183"/>
      <c r="M55" s="183">
        <f>M23+M42+M54</f>
        <v>226698.61000000002</v>
      </c>
      <c r="N55" s="184"/>
      <c r="O55" s="183">
        <f>O23+O42+O54</f>
        <v>315686.42</v>
      </c>
      <c r="P55" s="182">
        <f>P23+P42+P54</f>
        <v>2913030.18</v>
      </c>
      <c r="Q55" s="182">
        <f>Q23+Q42+Q54</f>
        <v>34956362.159999996</v>
      </c>
      <c r="R55" s="156"/>
    </row>
    <row r="56" spans="1:21" x14ac:dyDescent="0.25">
      <c r="S56" s="515" t="s">
        <v>132</v>
      </c>
      <c r="T56" s="187" t="s">
        <v>163</v>
      </c>
      <c r="U56" s="187" t="s">
        <v>164</v>
      </c>
    </row>
    <row r="57" spans="1:21" x14ac:dyDescent="0.25">
      <c r="B57" s="102" t="s">
        <v>40</v>
      </c>
      <c r="C57" s="102"/>
      <c r="D57" s="102"/>
      <c r="E57" s="410"/>
      <c r="F57" s="410"/>
      <c r="G57" s="410"/>
      <c r="H57" s="144"/>
      <c r="I57" s="524" t="s">
        <v>169</v>
      </c>
      <c r="J57" s="524"/>
      <c r="K57" s="524"/>
      <c r="L57" s="524"/>
      <c r="M57" s="524"/>
      <c r="N57" s="524"/>
      <c r="O57" s="524"/>
      <c r="P57" s="189"/>
      <c r="S57" s="515"/>
      <c r="T57" s="190">
        <f>'[1]РАСЧЁТЫ по действующей системе'!AE128</f>
        <v>48.25</v>
      </c>
      <c r="U57" s="190">
        <f>'[1]РАСЧЁТЫ по действующей системе'!AF128</f>
        <v>2216102.59</v>
      </c>
    </row>
    <row r="58" spans="1:21" x14ac:dyDescent="0.25">
      <c r="F58" s="411" t="s">
        <v>128</v>
      </c>
      <c r="I58" s="525" t="s">
        <v>129</v>
      </c>
      <c r="J58" s="525"/>
      <c r="K58" s="525"/>
      <c r="L58" s="525"/>
      <c r="M58" s="525"/>
      <c r="N58" s="525"/>
      <c r="O58" s="525"/>
      <c r="P58" s="189"/>
      <c r="S58" s="191"/>
      <c r="T58" s="192"/>
      <c r="U58" s="192"/>
    </row>
    <row r="59" spans="1:21" x14ac:dyDescent="0.25">
      <c r="N59" s="193"/>
      <c r="P59" s="189"/>
      <c r="Q59" s="130"/>
      <c r="S59" s="132"/>
      <c r="T59" s="132"/>
      <c r="U59" s="132"/>
    </row>
    <row r="60" spans="1:21" x14ac:dyDescent="0.25">
      <c r="A60" s="132"/>
      <c r="P60" s="189"/>
      <c r="S60" s="515" t="s">
        <v>132</v>
      </c>
      <c r="T60" s="187" t="s">
        <v>166</v>
      </c>
      <c r="U60" s="187" t="s">
        <v>167</v>
      </c>
    </row>
    <row r="61" spans="1:21" x14ac:dyDescent="0.25">
      <c r="A61" s="132"/>
      <c r="N61" s="193"/>
      <c r="S61" s="515"/>
      <c r="T61" s="190">
        <f>F55</f>
        <v>48.25</v>
      </c>
      <c r="U61" s="190">
        <f>P55</f>
        <v>2913030.18</v>
      </c>
    </row>
    <row r="62" spans="1:21" s="195" customFormat="1" x14ac:dyDescent="0.25">
      <c r="A62" s="194"/>
      <c r="B62" s="516"/>
      <c r="C62" s="516"/>
      <c r="D62" s="516"/>
      <c r="E62" s="517"/>
      <c r="F62" s="517"/>
      <c r="G62" s="517"/>
      <c r="H62" s="517"/>
      <c r="I62" s="517"/>
      <c r="J62" s="517"/>
      <c r="K62" s="517"/>
      <c r="L62" s="517"/>
      <c r="M62" s="517"/>
      <c r="N62" s="517"/>
      <c r="O62" s="517"/>
      <c r="P62" s="517"/>
      <c r="Q62" s="517"/>
    </row>
    <row r="63" spans="1:21" x14ac:dyDescent="0.25">
      <c r="A63" s="132"/>
      <c r="S63" s="515" t="s">
        <v>134</v>
      </c>
      <c r="T63" s="187" t="s">
        <v>168</v>
      </c>
      <c r="U63" s="187" t="s">
        <v>168</v>
      </c>
    </row>
    <row r="64" spans="1:21" s="195" customFormat="1" x14ac:dyDescent="0.25">
      <c r="A64" s="194"/>
      <c r="B64" s="516"/>
      <c r="C64" s="516"/>
      <c r="D64" s="516"/>
      <c r="E64" s="517"/>
      <c r="F64" s="517"/>
      <c r="G64" s="517"/>
      <c r="H64" s="517"/>
      <c r="I64" s="517"/>
      <c r="J64" s="517"/>
      <c r="K64" s="517"/>
      <c r="L64" s="517"/>
      <c r="M64" s="517"/>
      <c r="N64" s="196"/>
      <c r="O64" s="196"/>
      <c r="P64" s="197"/>
      <c r="S64" s="515"/>
      <c r="T64" s="190">
        <f>T57-T61</f>
        <v>0</v>
      </c>
      <c r="U64" s="190">
        <f>U57-U61</f>
        <v>-696927.59000000032</v>
      </c>
    </row>
    <row r="65" spans="1:13" x14ac:dyDescent="0.25">
      <c r="A65" s="132"/>
    </row>
    <row r="66" spans="1:13" x14ac:dyDescent="0.25">
      <c r="M66" s="198"/>
    </row>
  </sheetData>
  <mergeCells count="44">
    <mergeCell ref="G5:Q5"/>
    <mergeCell ref="G1:Q1"/>
    <mergeCell ref="B2:E2"/>
    <mergeCell ref="G2:Q2"/>
    <mergeCell ref="G3:N3"/>
    <mergeCell ref="I4:Q4"/>
    <mergeCell ref="F6:Q6"/>
    <mergeCell ref="G7:Q7"/>
    <mergeCell ref="B9:Q9"/>
    <mergeCell ref="A10:Q10"/>
    <mergeCell ref="A11:Q11"/>
    <mergeCell ref="W12:AC12"/>
    <mergeCell ref="U13:V13"/>
    <mergeCell ref="W13:AC13"/>
    <mergeCell ref="A12:Q12"/>
    <mergeCell ref="Q14:Q15"/>
    <mergeCell ref="W14:AC14"/>
    <mergeCell ref="U15:AC15"/>
    <mergeCell ref="H14:H15"/>
    <mergeCell ref="I14:I15"/>
    <mergeCell ref="J14:K14"/>
    <mergeCell ref="L14:M14"/>
    <mergeCell ref="A14:A15"/>
    <mergeCell ref="B14:B15"/>
    <mergeCell ref="C14:C15"/>
    <mergeCell ref="D14:D15"/>
    <mergeCell ref="E14:E15"/>
    <mergeCell ref="F14:F15"/>
    <mergeCell ref="G14:G15"/>
    <mergeCell ref="T16:AC16"/>
    <mergeCell ref="N14:O14"/>
    <mergeCell ref="P14:P15"/>
    <mergeCell ref="U17:AC17"/>
    <mergeCell ref="S60:S61"/>
    <mergeCell ref="B62:Q62"/>
    <mergeCell ref="S63:S64"/>
    <mergeCell ref="B64:M64"/>
    <mergeCell ref="A42:B42"/>
    <mergeCell ref="A54:B54"/>
    <mergeCell ref="A55:B55"/>
    <mergeCell ref="S56:S57"/>
    <mergeCell ref="I57:O57"/>
    <mergeCell ref="I58:O58"/>
    <mergeCell ref="A23:B23"/>
  </mergeCells>
  <pageMargins left="0.7" right="0.7" top="0.75" bottom="0.75" header="0.3" footer="0.3"/>
  <pageSetup paperSize="1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K97"/>
  <sheetViews>
    <sheetView topLeftCell="A7" zoomScaleNormal="100" workbookViewId="0">
      <selection activeCell="A7" sqref="A1:XFD1048576"/>
    </sheetView>
  </sheetViews>
  <sheetFormatPr defaultRowHeight="12.75" x14ac:dyDescent="0.25"/>
  <cols>
    <col min="1" max="1" width="3.7109375" style="403" customWidth="1"/>
    <col min="2" max="2" width="19.85546875" style="403" customWidth="1"/>
    <col min="3" max="3" width="21.140625" style="402" customWidth="1"/>
    <col min="4" max="4" width="11.140625" style="403" customWidth="1"/>
    <col min="5" max="5" width="12.28515625" style="403" customWidth="1"/>
    <col min="6" max="6" width="12.28515625" style="437" customWidth="1"/>
    <col min="7" max="7" width="10.7109375" style="403" customWidth="1"/>
    <col min="8" max="8" width="4.42578125" style="403" hidden="1" customWidth="1"/>
    <col min="9" max="9" width="7" style="403" customWidth="1"/>
    <col min="10" max="10" width="6" style="403" customWidth="1"/>
    <col min="11" max="11" width="6.85546875" style="403" customWidth="1"/>
    <col min="12" max="12" width="5.140625" style="403" customWidth="1"/>
    <col min="13" max="13" width="10.7109375" style="403" customWidth="1"/>
    <col min="14" max="14" width="11.42578125" style="403" customWidth="1"/>
    <col min="15" max="15" width="6.28515625" style="402" customWidth="1"/>
    <col min="16" max="16" width="6.7109375" style="403" customWidth="1"/>
    <col min="17" max="17" width="13.85546875" style="403" customWidth="1"/>
    <col min="18" max="18" width="0.85546875" style="403" hidden="1" customWidth="1"/>
    <col min="19" max="19" width="0.42578125" style="403" hidden="1" customWidth="1"/>
    <col min="20" max="20" width="8.28515625" style="403" customWidth="1"/>
    <col min="21" max="21" width="13.7109375" style="403" customWidth="1"/>
    <col min="22" max="22" width="7.140625" style="403" customWidth="1"/>
    <col min="23" max="23" width="11.7109375" style="403" customWidth="1"/>
    <col min="24" max="24" width="14.5703125" style="403" customWidth="1"/>
    <col min="25" max="25" width="12.42578125" style="403" customWidth="1"/>
    <col min="26" max="26" width="41.85546875" style="2" customWidth="1"/>
    <col min="27" max="27" width="9.28515625" style="2" bestFit="1" customWidth="1"/>
    <col min="28" max="28" width="14" style="2" customWidth="1"/>
    <col min="29" max="29" width="9.140625" style="2"/>
    <col min="30" max="30" width="41.42578125" style="2" customWidth="1"/>
    <col min="31" max="31" width="9.28515625" style="2" bestFit="1" customWidth="1"/>
    <col min="32" max="32" width="13.7109375" style="2" customWidth="1"/>
    <col min="33" max="33" width="9.140625" style="403"/>
    <col min="34" max="34" width="11.7109375" style="403" bestFit="1" customWidth="1"/>
    <col min="35" max="35" width="9.140625" style="403"/>
    <col min="36" max="41" width="9.140625" style="403" customWidth="1"/>
    <col min="42" max="42" width="11.28515625" style="403" bestFit="1" customWidth="1"/>
    <col min="43" max="16384" width="9.140625" style="403"/>
  </cols>
  <sheetData>
    <row r="1" spans="1:37" x14ac:dyDescent="0.25">
      <c r="V1" s="1"/>
    </row>
    <row r="2" spans="1:37" x14ac:dyDescent="0.25">
      <c r="A2" s="467" t="s">
        <v>448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</row>
    <row r="3" spans="1:37" ht="12.75" customHeight="1" x14ac:dyDescent="0.25">
      <c r="A3" s="468" t="s">
        <v>326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Z3" s="403"/>
      <c r="AA3" s="403"/>
      <c r="AB3" s="403"/>
      <c r="AC3" s="403"/>
      <c r="AD3" s="403"/>
      <c r="AE3" s="403"/>
      <c r="AF3" s="403"/>
    </row>
    <row r="4" spans="1:37" x14ac:dyDescent="0.25">
      <c r="O4" s="403"/>
    </row>
    <row r="5" spans="1:37" x14ac:dyDescent="0.25">
      <c r="O5" s="403"/>
      <c r="T5" s="469"/>
      <c r="U5" s="469"/>
      <c r="Z5" s="402"/>
      <c r="AA5" s="402"/>
      <c r="AB5" s="402"/>
      <c r="AC5" s="402"/>
      <c r="AD5" s="403"/>
      <c r="AE5" s="403"/>
      <c r="AF5" s="403"/>
    </row>
    <row r="6" spans="1:37" x14ac:dyDescent="0.25">
      <c r="O6" s="403"/>
      <c r="AA6" s="402"/>
      <c r="AB6" s="402"/>
      <c r="AC6" s="402"/>
      <c r="AD6" s="403"/>
      <c r="AE6" s="403"/>
      <c r="AF6" s="403"/>
    </row>
    <row r="7" spans="1:37" s="402" customFormat="1" x14ac:dyDescent="0.25">
      <c r="A7" s="489" t="s">
        <v>5</v>
      </c>
      <c r="B7" s="489" t="s">
        <v>6</v>
      </c>
      <c r="C7" s="489" t="s">
        <v>7</v>
      </c>
      <c r="D7" s="489" t="s">
        <v>8</v>
      </c>
      <c r="E7" s="489" t="s">
        <v>377</v>
      </c>
      <c r="F7" s="470" t="s">
        <v>450</v>
      </c>
      <c r="G7" s="489" t="s">
        <v>449</v>
      </c>
      <c r="H7" s="489" t="s">
        <v>11</v>
      </c>
      <c r="I7" s="489" t="s">
        <v>12</v>
      </c>
      <c r="J7" s="546" t="s">
        <v>13</v>
      </c>
      <c r="K7" s="546" t="s">
        <v>14</v>
      </c>
      <c r="L7" s="546" t="s">
        <v>15</v>
      </c>
      <c r="M7" s="489" t="s">
        <v>16</v>
      </c>
      <c r="N7" s="489" t="s">
        <v>17</v>
      </c>
      <c r="O7" s="489" t="s">
        <v>10</v>
      </c>
      <c r="P7" s="489" t="s">
        <v>18</v>
      </c>
      <c r="Q7" s="489" t="s">
        <v>19</v>
      </c>
      <c r="R7" s="489" t="s">
        <v>20</v>
      </c>
      <c r="S7" s="489"/>
      <c r="T7" s="489" t="s">
        <v>21</v>
      </c>
      <c r="U7" s="489"/>
      <c r="V7" s="489" t="s">
        <v>22</v>
      </c>
      <c r="W7" s="489"/>
      <c r="X7" s="489" t="s">
        <v>23</v>
      </c>
      <c r="Z7" s="3"/>
      <c r="AA7" s="403"/>
      <c r="AB7" s="403"/>
      <c r="AC7" s="403"/>
    </row>
    <row r="8" spans="1:37" s="402" customFormat="1" ht="63.75" x14ac:dyDescent="0.25">
      <c r="A8" s="489"/>
      <c r="B8" s="489"/>
      <c r="C8" s="489"/>
      <c r="D8" s="489"/>
      <c r="E8" s="489"/>
      <c r="F8" s="471"/>
      <c r="G8" s="489"/>
      <c r="H8" s="489"/>
      <c r="I8" s="489"/>
      <c r="J8" s="546"/>
      <c r="K8" s="546"/>
      <c r="L8" s="546"/>
      <c r="M8" s="489"/>
      <c r="N8" s="489"/>
      <c r="O8" s="489"/>
      <c r="P8" s="489"/>
      <c r="Q8" s="489"/>
      <c r="R8" s="412" t="s">
        <v>24</v>
      </c>
      <c r="S8" s="412" t="s">
        <v>25</v>
      </c>
      <c r="T8" s="412" t="s">
        <v>24</v>
      </c>
      <c r="U8" s="412" t="s">
        <v>25</v>
      </c>
      <c r="V8" s="412" t="s">
        <v>24</v>
      </c>
      <c r="W8" s="412" t="s">
        <v>25</v>
      </c>
      <c r="X8" s="489"/>
      <c r="Z8" s="2"/>
      <c r="AA8" s="403"/>
      <c r="AB8" s="403"/>
      <c r="AC8" s="403"/>
    </row>
    <row r="9" spans="1:37" s="6" customFormat="1" ht="15" x14ac:dyDescent="0.25">
      <c r="A9" s="4">
        <v>1</v>
      </c>
      <c r="B9" s="432" t="s">
        <v>347</v>
      </c>
      <c r="C9" s="56" t="s">
        <v>376</v>
      </c>
      <c r="D9" s="4" t="s">
        <v>28</v>
      </c>
      <c r="E9" s="4" t="s">
        <v>378</v>
      </c>
      <c r="F9" s="4"/>
      <c r="G9" s="54"/>
      <c r="H9" s="54"/>
      <c r="I9" s="4">
        <v>1</v>
      </c>
      <c r="J9" s="4" t="s">
        <v>30</v>
      </c>
      <c r="K9" s="4" t="s">
        <v>31</v>
      </c>
      <c r="L9" s="5">
        <v>3</v>
      </c>
      <c r="M9" s="48">
        <v>17697</v>
      </c>
      <c r="N9" s="48">
        <v>1</v>
      </c>
      <c r="O9" s="48"/>
      <c r="P9" s="4">
        <v>6.22</v>
      </c>
      <c r="Q9" s="48">
        <f>P9*M9</f>
        <v>110075.34</v>
      </c>
      <c r="R9" s="209">
        <f>IF(H9&gt;0,25%,0)</f>
        <v>0</v>
      </c>
      <c r="S9" s="53">
        <f t="shared" ref="S9:S10" si="0">ROUND((Q9+U9)*R9,2)</f>
        <v>0</v>
      </c>
      <c r="T9" s="210">
        <f>IF(I9&gt;0,10%,0)</f>
        <v>0.1</v>
      </c>
      <c r="U9" s="53">
        <f t="shared" ref="U9:U10" si="1">ROUND(Q9*T9*N9,2)</f>
        <v>11007.53</v>
      </c>
      <c r="V9" s="55">
        <v>0.3</v>
      </c>
      <c r="W9" s="53">
        <f>M9*V9*N9</f>
        <v>5309.0999999999995</v>
      </c>
      <c r="X9" s="53">
        <f>Q9+U9+W9</f>
        <v>126391.97</v>
      </c>
      <c r="Z9" s="9"/>
      <c r="AJ9" s="10"/>
      <c r="AK9" s="11"/>
    </row>
    <row r="10" spans="1:37" s="6" customFormat="1" ht="43.5" customHeight="1" x14ac:dyDescent="0.25">
      <c r="A10" s="555">
        <v>2</v>
      </c>
      <c r="B10" s="547" t="s">
        <v>301</v>
      </c>
      <c r="C10" s="56" t="s">
        <v>379</v>
      </c>
      <c r="D10" s="4" t="s">
        <v>28</v>
      </c>
      <c r="E10" s="360" t="s">
        <v>380</v>
      </c>
      <c r="F10" s="428"/>
      <c r="G10" s="4"/>
      <c r="H10" s="4"/>
      <c r="I10" s="4">
        <v>1</v>
      </c>
      <c r="J10" s="4"/>
      <c r="K10" s="4" t="s">
        <v>37</v>
      </c>
      <c r="L10" s="5">
        <v>3</v>
      </c>
      <c r="M10" s="48">
        <v>17697</v>
      </c>
      <c r="N10" s="48">
        <v>1</v>
      </c>
      <c r="O10" s="48"/>
      <c r="P10" s="358">
        <v>3.68</v>
      </c>
      <c r="Q10" s="48">
        <f>M10*P10</f>
        <v>65124.960000000006</v>
      </c>
      <c r="R10" s="209">
        <f t="shared" ref="R10:R54" si="2">IF(H10&gt;0,25%,0)</f>
        <v>0</v>
      </c>
      <c r="S10" s="53">
        <f t="shared" si="0"/>
        <v>0</v>
      </c>
      <c r="T10" s="210">
        <f>IF(I10&gt;0,10%,0)</f>
        <v>0.1</v>
      </c>
      <c r="U10" s="53">
        <f t="shared" si="1"/>
        <v>6512.5</v>
      </c>
      <c r="V10" s="55"/>
      <c r="W10" s="53"/>
      <c r="X10" s="53">
        <f t="shared" ref="X10:X70" si="3">Q10+U10+W10</f>
        <v>71637.460000000006</v>
      </c>
      <c r="Z10" s="9"/>
    </row>
    <row r="11" spans="1:37" s="6" customFormat="1" ht="26.25" customHeight="1" x14ac:dyDescent="0.25">
      <c r="A11" s="556"/>
      <c r="B11" s="548"/>
      <c r="C11" s="56" t="s">
        <v>111</v>
      </c>
      <c r="D11" s="4" t="s">
        <v>28</v>
      </c>
      <c r="E11" s="428" t="s">
        <v>380</v>
      </c>
      <c r="F11" s="428"/>
      <c r="G11" s="4"/>
      <c r="H11" s="4"/>
      <c r="I11" s="4">
        <v>0.5</v>
      </c>
      <c r="J11" s="4"/>
      <c r="K11" s="4" t="s">
        <v>390</v>
      </c>
      <c r="L11" s="5">
        <v>2</v>
      </c>
      <c r="M11" s="48">
        <v>17697</v>
      </c>
      <c r="N11" s="48">
        <v>0.5</v>
      </c>
      <c r="O11" s="48"/>
      <c r="P11" s="358">
        <v>2.81</v>
      </c>
      <c r="Q11" s="48">
        <f>M11*P11*N11</f>
        <v>24864.285</v>
      </c>
      <c r="R11" s="209">
        <f t="shared" ref="R11:R15" si="4">IF(H11&gt;0,25%,0)</f>
        <v>0</v>
      </c>
      <c r="S11" s="53">
        <f t="shared" ref="S11:S15" si="5">ROUND((Q11+U11)*R11,2)</f>
        <v>0</v>
      </c>
      <c r="T11" s="210">
        <f t="shared" ref="T11:T13" si="6">IF(I11&gt;0,10%,0)</f>
        <v>0.1</v>
      </c>
      <c r="U11" s="53">
        <f t="shared" ref="U11:U14" si="7">ROUND(Q11*T11*N11,2)</f>
        <v>1243.21</v>
      </c>
      <c r="V11" s="55"/>
      <c r="W11" s="53"/>
      <c r="X11" s="53">
        <f t="shared" si="3"/>
        <v>26107.494999999999</v>
      </c>
      <c r="Z11" s="9"/>
    </row>
    <row r="12" spans="1:37" s="6" customFormat="1" ht="15" x14ac:dyDescent="0.25">
      <c r="A12" s="4">
        <v>3</v>
      </c>
      <c r="B12" s="432" t="s">
        <v>271</v>
      </c>
      <c r="C12" s="56" t="s">
        <v>40</v>
      </c>
      <c r="D12" s="4" t="s">
        <v>28</v>
      </c>
      <c r="E12" s="4" t="s">
        <v>414</v>
      </c>
      <c r="F12" s="4"/>
      <c r="G12" s="4"/>
      <c r="H12" s="4"/>
      <c r="I12" s="4">
        <v>1</v>
      </c>
      <c r="J12" s="12"/>
      <c r="K12" s="12" t="s">
        <v>37</v>
      </c>
      <c r="L12" s="5">
        <v>2</v>
      </c>
      <c r="M12" s="48">
        <v>17697</v>
      </c>
      <c r="N12" s="48">
        <v>0.5</v>
      </c>
      <c r="O12" s="48"/>
      <c r="P12" s="358">
        <v>4.6100000000000003</v>
      </c>
      <c r="Q12" s="48">
        <f>M12*P12*N12</f>
        <v>40791.585000000006</v>
      </c>
      <c r="R12" s="209">
        <f t="shared" si="4"/>
        <v>0</v>
      </c>
      <c r="S12" s="53">
        <f t="shared" si="5"/>
        <v>0</v>
      </c>
      <c r="T12" s="210">
        <f t="shared" si="6"/>
        <v>0.1</v>
      </c>
      <c r="U12" s="53">
        <v>4079.15</v>
      </c>
      <c r="V12" s="55"/>
      <c r="W12" s="53"/>
      <c r="X12" s="53">
        <f t="shared" si="3"/>
        <v>44870.735000000008</v>
      </c>
      <c r="Z12" s="9"/>
    </row>
    <row r="13" spans="1:37" s="6" customFormat="1" ht="15" x14ac:dyDescent="0.25">
      <c r="A13" s="555">
        <v>4</v>
      </c>
      <c r="B13" s="547" t="s">
        <v>415</v>
      </c>
      <c r="C13" s="56" t="s">
        <v>73</v>
      </c>
      <c r="D13" s="4" t="s">
        <v>28</v>
      </c>
      <c r="E13" s="4" t="s">
        <v>416</v>
      </c>
      <c r="F13" s="4"/>
      <c r="G13" s="4"/>
      <c r="H13" s="4"/>
      <c r="I13" s="555">
        <v>1</v>
      </c>
      <c r="J13" s="12"/>
      <c r="K13" s="12" t="s">
        <v>37</v>
      </c>
      <c r="L13" s="5">
        <v>2</v>
      </c>
      <c r="M13" s="48">
        <v>17697</v>
      </c>
      <c r="N13" s="48">
        <v>1</v>
      </c>
      <c r="O13" s="48"/>
      <c r="P13" s="358">
        <v>4.2300000000000004</v>
      </c>
      <c r="Q13" s="48">
        <f>M13*P13</f>
        <v>74858.310000000012</v>
      </c>
      <c r="R13" s="209">
        <f t="shared" si="4"/>
        <v>0</v>
      </c>
      <c r="S13" s="53">
        <f t="shared" si="5"/>
        <v>0</v>
      </c>
      <c r="T13" s="210">
        <f t="shared" si="6"/>
        <v>0.1</v>
      </c>
      <c r="U13" s="53">
        <f t="shared" si="7"/>
        <v>7485.83</v>
      </c>
      <c r="V13" s="55"/>
      <c r="W13" s="53"/>
      <c r="X13" s="53">
        <f t="shared" si="3"/>
        <v>82344.140000000014</v>
      </c>
      <c r="Z13" s="9"/>
    </row>
    <row r="14" spans="1:37" s="6" customFormat="1" ht="15" x14ac:dyDescent="0.25">
      <c r="A14" s="556"/>
      <c r="B14" s="548"/>
      <c r="C14" s="56" t="s">
        <v>317</v>
      </c>
      <c r="D14" s="4" t="s">
        <v>28</v>
      </c>
      <c r="E14" s="4" t="s">
        <v>416</v>
      </c>
      <c r="F14" s="4"/>
      <c r="G14" s="4"/>
      <c r="H14" s="4"/>
      <c r="I14" s="556"/>
      <c r="J14" s="12"/>
      <c r="K14" s="12" t="s">
        <v>359</v>
      </c>
      <c r="L14" s="5">
        <v>1</v>
      </c>
      <c r="M14" s="48">
        <v>17697</v>
      </c>
      <c r="N14" s="48">
        <v>0.5</v>
      </c>
      <c r="O14" s="48"/>
      <c r="P14" s="358">
        <v>3.04</v>
      </c>
      <c r="Q14" s="48">
        <f>M14*P14*N14</f>
        <v>26899.439999999999</v>
      </c>
      <c r="R14" s="209">
        <f t="shared" si="4"/>
        <v>0</v>
      </c>
      <c r="S14" s="53">
        <f t="shared" si="5"/>
        <v>0</v>
      </c>
      <c r="T14" s="210"/>
      <c r="U14" s="53">
        <f t="shared" si="7"/>
        <v>0</v>
      </c>
      <c r="V14" s="55"/>
      <c r="W14" s="53"/>
      <c r="X14" s="53">
        <f t="shared" si="3"/>
        <v>26899.439999999999</v>
      </c>
      <c r="Z14" s="9"/>
    </row>
    <row r="15" spans="1:37" s="6" customFormat="1" ht="15" x14ac:dyDescent="0.25">
      <c r="A15" s="555">
        <v>5</v>
      </c>
      <c r="B15" s="547" t="s">
        <v>417</v>
      </c>
      <c r="C15" s="56" t="s">
        <v>418</v>
      </c>
      <c r="D15" s="4" t="s">
        <v>357</v>
      </c>
      <c r="E15" s="4" t="s">
        <v>420</v>
      </c>
      <c r="F15" s="4"/>
      <c r="G15" s="4"/>
      <c r="H15" s="4"/>
      <c r="I15" s="555">
        <v>1</v>
      </c>
      <c r="J15" s="12"/>
      <c r="K15" s="12" t="s">
        <v>49</v>
      </c>
      <c r="L15" s="5">
        <v>1</v>
      </c>
      <c r="M15" s="358">
        <v>17697</v>
      </c>
      <c r="N15" s="379">
        <v>0.5</v>
      </c>
      <c r="O15" s="358"/>
      <c r="P15" s="358">
        <v>4.53</v>
      </c>
      <c r="Q15" s="358">
        <f>M15*P15*N15</f>
        <v>40083.705000000002</v>
      </c>
      <c r="R15" s="415">
        <f t="shared" si="4"/>
        <v>0</v>
      </c>
      <c r="S15" s="370">
        <f t="shared" si="5"/>
        <v>0</v>
      </c>
      <c r="T15" s="416">
        <f t="shared" ref="T15" si="8">IF(I15&gt;0,10%,0)</f>
        <v>0.1</v>
      </c>
      <c r="U15" s="53">
        <f>Q15*10%</f>
        <v>4008.3705000000004</v>
      </c>
      <c r="V15" s="417">
        <v>0.4</v>
      </c>
      <c r="W15" s="53">
        <f>M15*V15*N15</f>
        <v>3539.4</v>
      </c>
      <c r="X15" s="53">
        <f t="shared" si="3"/>
        <v>47631.4755</v>
      </c>
      <c r="Z15" s="9"/>
    </row>
    <row r="16" spans="1:37" s="6" customFormat="1" ht="15" x14ac:dyDescent="0.25">
      <c r="A16" s="556"/>
      <c r="B16" s="548"/>
      <c r="C16" s="56" t="s">
        <v>419</v>
      </c>
      <c r="D16" s="4" t="s">
        <v>357</v>
      </c>
      <c r="E16" s="4" t="s">
        <v>420</v>
      </c>
      <c r="F16" s="4"/>
      <c r="G16" s="4"/>
      <c r="H16" s="4"/>
      <c r="I16" s="556"/>
      <c r="J16" s="12"/>
      <c r="K16" s="12" t="s">
        <v>49</v>
      </c>
      <c r="L16" s="5">
        <v>1</v>
      </c>
      <c r="M16" s="48">
        <v>17697</v>
      </c>
      <c r="N16" s="48">
        <v>0.5</v>
      </c>
      <c r="O16" s="48"/>
      <c r="P16" s="358">
        <v>4.53</v>
      </c>
      <c r="Q16" s="358">
        <f t="shared" ref="Q16:Q20" si="9">M16*P16*N16</f>
        <v>40083.705000000002</v>
      </c>
      <c r="R16" s="415">
        <f t="shared" ref="R16:R20" si="10">IF(H16&gt;0,25%,0)</f>
        <v>0</v>
      </c>
      <c r="S16" s="370">
        <f t="shared" ref="S16:S20" si="11">ROUND((Q16+U16)*R16,2)</f>
        <v>0</v>
      </c>
      <c r="T16" s="416">
        <v>0.1</v>
      </c>
      <c r="U16" s="53">
        <f t="shared" ref="U16:U20" si="12">Q16*10%</f>
        <v>4008.3705000000004</v>
      </c>
      <c r="V16" s="417">
        <v>0.4</v>
      </c>
      <c r="W16" s="53">
        <f t="shared" ref="W16:W20" si="13">M16*V16*N16</f>
        <v>3539.4</v>
      </c>
      <c r="X16" s="53">
        <f t="shared" si="3"/>
        <v>47631.4755</v>
      </c>
      <c r="Z16" s="9"/>
    </row>
    <row r="17" spans="1:26" s="6" customFormat="1" ht="15" x14ac:dyDescent="0.25">
      <c r="A17" s="4">
        <v>6</v>
      </c>
      <c r="B17" s="433" t="s">
        <v>361</v>
      </c>
      <c r="C17" s="56" t="s">
        <v>418</v>
      </c>
      <c r="D17" s="4" t="s">
        <v>357</v>
      </c>
      <c r="E17" s="4" t="s">
        <v>421</v>
      </c>
      <c r="F17" s="4"/>
      <c r="G17" s="4"/>
      <c r="H17" s="4"/>
      <c r="I17" s="4">
        <v>1</v>
      </c>
      <c r="J17" s="12"/>
      <c r="K17" s="12" t="s">
        <v>49</v>
      </c>
      <c r="L17" s="5">
        <v>4</v>
      </c>
      <c r="M17" s="48">
        <v>17697</v>
      </c>
      <c r="N17" s="48">
        <v>0.5</v>
      </c>
      <c r="O17" s="48"/>
      <c r="P17" s="358">
        <v>3.73</v>
      </c>
      <c r="Q17" s="358">
        <f t="shared" si="9"/>
        <v>33004.904999999999</v>
      </c>
      <c r="R17" s="415">
        <f t="shared" si="10"/>
        <v>0</v>
      </c>
      <c r="S17" s="370">
        <f t="shared" si="11"/>
        <v>0</v>
      </c>
      <c r="T17" s="416">
        <f t="shared" ref="T17:T20" si="14">IF(I17&gt;0,10%,0)</f>
        <v>0.1</v>
      </c>
      <c r="U17" s="53">
        <f t="shared" si="12"/>
        <v>3300.4904999999999</v>
      </c>
      <c r="V17" s="417">
        <v>0.4</v>
      </c>
      <c r="W17" s="53">
        <f t="shared" si="13"/>
        <v>3539.4</v>
      </c>
      <c r="X17" s="53">
        <f t="shared" si="3"/>
        <v>39844.7955</v>
      </c>
      <c r="Z17" s="9"/>
    </row>
    <row r="18" spans="1:26" s="6" customFormat="1" ht="15" x14ac:dyDescent="0.25">
      <c r="A18" s="4"/>
      <c r="B18" s="433" t="s">
        <v>432</v>
      </c>
      <c r="C18" s="56" t="s">
        <v>66</v>
      </c>
      <c r="D18" s="4" t="s">
        <v>28</v>
      </c>
      <c r="E18" s="4" t="s">
        <v>433</v>
      </c>
      <c r="F18" s="4"/>
      <c r="G18" s="4"/>
      <c r="H18" s="4"/>
      <c r="I18" s="4">
        <v>1</v>
      </c>
      <c r="J18" s="12"/>
      <c r="K18" s="12" t="s">
        <v>53</v>
      </c>
      <c r="L18" s="5">
        <v>4</v>
      </c>
      <c r="M18" s="48">
        <v>17697</v>
      </c>
      <c r="N18" s="48">
        <v>0.25</v>
      </c>
      <c r="O18" s="48"/>
      <c r="P18" s="358">
        <v>4.7</v>
      </c>
      <c r="Q18" s="358">
        <f t="shared" ref="Q18:Q19" si="15">M18*P18*N18</f>
        <v>20793.975000000002</v>
      </c>
      <c r="R18" s="415">
        <f t="shared" ref="R18:R19" si="16">IF(H18&gt;0,25%,0)</f>
        <v>0</v>
      </c>
      <c r="S18" s="370">
        <f t="shared" ref="S18:S19" si="17">ROUND((Q18+U18)*R18,2)</f>
        <v>0</v>
      </c>
      <c r="T18" s="416">
        <f t="shared" ref="T18:T19" si="18">IF(I18&gt;0,10%,0)</f>
        <v>0.1</v>
      </c>
      <c r="U18" s="53">
        <f t="shared" ref="U18:U19" si="19">Q18*10%</f>
        <v>2079.3975000000005</v>
      </c>
      <c r="V18" s="417">
        <v>0.4</v>
      </c>
      <c r="W18" s="53">
        <f t="shared" ref="W18:W19" si="20">M18*V18*N18</f>
        <v>1769.7</v>
      </c>
      <c r="X18" s="53">
        <f t="shared" ref="X18:X19" si="21">Q18+U18+W18</f>
        <v>24643.072500000002</v>
      </c>
      <c r="Z18" s="9"/>
    </row>
    <row r="19" spans="1:26" s="6" customFormat="1" ht="15" x14ac:dyDescent="0.25">
      <c r="A19" s="4"/>
      <c r="B19" s="433" t="s">
        <v>434</v>
      </c>
      <c r="C19" s="56" t="s">
        <v>435</v>
      </c>
      <c r="D19" s="4" t="s">
        <v>28</v>
      </c>
      <c r="E19" s="4" t="s">
        <v>436</v>
      </c>
      <c r="F19" s="4"/>
      <c r="G19" s="4"/>
      <c r="H19" s="4"/>
      <c r="I19" s="4">
        <v>1</v>
      </c>
      <c r="J19" s="12"/>
      <c r="K19" s="12" t="s">
        <v>53</v>
      </c>
      <c r="L19" s="5">
        <v>4</v>
      </c>
      <c r="M19" s="48">
        <v>17697</v>
      </c>
      <c r="N19" s="48">
        <v>0.25</v>
      </c>
      <c r="O19" s="48"/>
      <c r="P19" s="358">
        <v>4.7</v>
      </c>
      <c r="Q19" s="358">
        <f t="shared" si="15"/>
        <v>20793.975000000002</v>
      </c>
      <c r="R19" s="415">
        <f t="shared" si="16"/>
        <v>0</v>
      </c>
      <c r="S19" s="370">
        <f t="shared" si="17"/>
        <v>0</v>
      </c>
      <c r="T19" s="416">
        <f t="shared" si="18"/>
        <v>0.1</v>
      </c>
      <c r="U19" s="53">
        <f t="shared" si="19"/>
        <v>2079.3975000000005</v>
      </c>
      <c r="V19" s="417">
        <v>0.4</v>
      </c>
      <c r="W19" s="53">
        <f t="shared" si="20"/>
        <v>1769.7</v>
      </c>
      <c r="X19" s="53">
        <f t="shared" si="21"/>
        <v>24643.072500000002</v>
      </c>
      <c r="Z19" s="9"/>
    </row>
    <row r="20" spans="1:26" s="6" customFormat="1" ht="15" x14ac:dyDescent="0.25">
      <c r="A20" s="4">
        <v>7</v>
      </c>
      <c r="B20" s="432" t="s">
        <v>108</v>
      </c>
      <c r="C20" s="56" t="s">
        <v>63</v>
      </c>
      <c r="D20" s="4" t="s">
        <v>28</v>
      </c>
      <c r="E20" s="4" t="s">
        <v>187</v>
      </c>
      <c r="F20" s="4"/>
      <c r="G20" s="4"/>
      <c r="H20" s="4"/>
      <c r="I20" s="4">
        <v>1</v>
      </c>
      <c r="J20" s="12"/>
      <c r="K20" s="12" t="s">
        <v>56</v>
      </c>
      <c r="L20" s="5">
        <v>2</v>
      </c>
      <c r="M20" s="48">
        <v>17697</v>
      </c>
      <c r="N20" s="48">
        <v>0.5</v>
      </c>
      <c r="O20" s="48"/>
      <c r="P20" s="358">
        <v>4.4400000000000004</v>
      </c>
      <c r="Q20" s="358">
        <f t="shared" si="9"/>
        <v>39287.340000000004</v>
      </c>
      <c r="R20" s="415">
        <f t="shared" si="10"/>
        <v>0</v>
      </c>
      <c r="S20" s="370">
        <f t="shared" si="11"/>
        <v>0</v>
      </c>
      <c r="T20" s="416">
        <f t="shared" si="14"/>
        <v>0.1</v>
      </c>
      <c r="U20" s="53">
        <f t="shared" si="12"/>
        <v>3928.7340000000004</v>
      </c>
      <c r="V20" s="417"/>
      <c r="W20" s="53">
        <f t="shared" si="13"/>
        <v>0</v>
      </c>
      <c r="X20" s="53">
        <f t="shared" si="3"/>
        <v>43216.074000000008</v>
      </c>
      <c r="Z20" s="9"/>
    </row>
    <row r="21" spans="1:26" s="6" customFormat="1" ht="15" x14ac:dyDescent="0.25">
      <c r="A21" s="427">
        <v>8</v>
      </c>
      <c r="B21" s="430" t="s">
        <v>333</v>
      </c>
      <c r="C21" s="426" t="s">
        <v>78</v>
      </c>
      <c r="D21" s="427" t="s">
        <v>357</v>
      </c>
      <c r="E21" s="427" t="s">
        <v>381</v>
      </c>
      <c r="F21" s="428"/>
      <c r="G21" s="427"/>
      <c r="H21" s="427"/>
      <c r="I21" s="427">
        <v>1</v>
      </c>
      <c r="J21" s="427" t="s">
        <v>48</v>
      </c>
      <c r="K21" s="427" t="s">
        <v>49</v>
      </c>
      <c r="L21" s="5">
        <v>2</v>
      </c>
      <c r="M21" s="358">
        <v>17697</v>
      </c>
      <c r="N21" s="379">
        <v>1.25</v>
      </c>
      <c r="O21" s="358"/>
      <c r="P21" s="358">
        <v>4.3899999999999997</v>
      </c>
      <c r="Q21" s="358">
        <f>M21*P21*N21</f>
        <v>97112.287499999977</v>
      </c>
      <c r="R21" s="415">
        <f t="shared" si="2"/>
        <v>0</v>
      </c>
      <c r="S21" s="370">
        <f t="shared" ref="S21:S38" si="22">ROUND((Q21+U21)*R21,2)</f>
        <v>0</v>
      </c>
      <c r="T21" s="416">
        <f t="shared" ref="T21:T24" si="23">IF(I21&gt;0,10%,0)</f>
        <v>0.1</v>
      </c>
      <c r="U21" s="53">
        <f t="shared" ref="U21:U27" si="24">Q21*10%</f>
        <v>9711.2287499999984</v>
      </c>
      <c r="V21" s="417">
        <v>0.4</v>
      </c>
      <c r="W21" s="53">
        <f>M21*V21*N21</f>
        <v>8848.5</v>
      </c>
      <c r="X21" s="53">
        <f t="shared" si="3"/>
        <v>115672.01624999997</v>
      </c>
      <c r="Z21" s="13"/>
    </row>
    <row r="22" spans="1:26" s="449" customFormat="1" ht="15" x14ac:dyDescent="0.25">
      <c r="A22" s="224">
        <v>9</v>
      </c>
      <c r="B22" s="443" t="s">
        <v>335</v>
      </c>
      <c r="C22" s="444" t="s">
        <v>78</v>
      </c>
      <c r="D22" s="224" t="s">
        <v>28</v>
      </c>
      <c r="E22" s="224" t="s">
        <v>382</v>
      </c>
      <c r="F22" s="224"/>
      <c r="G22" s="224" t="s">
        <v>451</v>
      </c>
      <c r="H22" s="224"/>
      <c r="I22" s="224">
        <v>1</v>
      </c>
      <c r="J22" s="224" t="s">
        <v>48</v>
      </c>
      <c r="K22" s="224" t="s">
        <v>56</v>
      </c>
      <c r="L22" s="226">
        <v>4</v>
      </c>
      <c r="M22" s="225">
        <v>17697</v>
      </c>
      <c r="N22" s="445">
        <v>1.25</v>
      </c>
      <c r="O22" s="225"/>
      <c r="P22" s="225">
        <v>4</v>
      </c>
      <c r="Q22" s="225">
        <f>M22*P22*N22</f>
        <v>88485</v>
      </c>
      <c r="R22" s="446">
        <f t="shared" ref="R22" si="25">IF(H22&gt;0,25%,0)</f>
        <v>0</v>
      </c>
      <c r="S22" s="208">
        <f t="shared" si="22"/>
        <v>0</v>
      </c>
      <c r="T22" s="447">
        <f t="shared" si="23"/>
        <v>0.1</v>
      </c>
      <c r="U22" s="208">
        <f t="shared" si="24"/>
        <v>8848.5</v>
      </c>
      <c r="V22" s="448">
        <v>0.4</v>
      </c>
      <c r="W22" s="208">
        <f>M22*V22*N22</f>
        <v>8848.5</v>
      </c>
      <c r="X22" s="208">
        <f t="shared" si="3"/>
        <v>106182</v>
      </c>
      <c r="Z22" s="450"/>
    </row>
    <row r="23" spans="1:26" s="6" customFormat="1" ht="15" x14ac:dyDescent="0.25">
      <c r="A23" s="360">
        <v>10</v>
      </c>
      <c r="B23" s="430" t="s">
        <v>294</v>
      </c>
      <c r="C23" s="371" t="s">
        <v>78</v>
      </c>
      <c r="D23" s="360" t="s">
        <v>357</v>
      </c>
      <c r="E23" s="360" t="s">
        <v>383</v>
      </c>
      <c r="F23" s="428"/>
      <c r="G23" s="360"/>
      <c r="H23" s="360"/>
      <c r="I23" s="360">
        <v>1</v>
      </c>
      <c r="J23" s="360" t="s">
        <v>48</v>
      </c>
      <c r="K23" s="360" t="s">
        <v>49</v>
      </c>
      <c r="L23" s="5">
        <v>3</v>
      </c>
      <c r="M23" s="358">
        <v>17697</v>
      </c>
      <c r="N23" s="429">
        <v>1.25</v>
      </c>
      <c r="O23" s="358"/>
      <c r="P23" s="358">
        <v>3.79</v>
      </c>
      <c r="Q23" s="48">
        <f t="shared" ref="Q23:Q69" si="26">M23*P23*N23</f>
        <v>83839.537500000006</v>
      </c>
      <c r="R23" s="415">
        <f t="shared" si="2"/>
        <v>0</v>
      </c>
      <c r="S23" s="370">
        <f t="shared" si="22"/>
        <v>0</v>
      </c>
      <c r="T23" s="416">
        <f t="shared" si="23"/>
        <v>0.1</v>
      </c>
      <c r="U23" s="53">
        <f t="shared" si="24"/>
        <v>8383.9537500000006</v>
      </c>
      <c r="V23" s="417">
        <v>0.4</v>
      </c>
      <c r="W23" s="53">
        <f>M23*V23*N23</f>
        <v>8848.5</v>
      </c>
      <c r="X23" s="53">
        <f t="shared" si="3"/>
        <v>101071.99125000001</v>
      </c>
      <c r="Z23" s="13"/>
    </row>
    <row r="24" spans="1:26" s="6" customFormat="1" ht="15" x14ac:dyDescent="0.25">
      <c r="A24" s="360">
        <v>11</v>
      </c>
      <c r="B24" s="430" t="s">
        <v>360</v>
      </c>
      <c r="C24" s="371" t="s">
        <v>78</v>
      </c>
      <c r="D24" s="360" t="s">
        <v>28</v>
      </c>
      <c r="E24" s="360" t="s">
        <v>382</v>
      </c>
      <c r="F24" s="428"/>
      <c r="G24" s="360"/>
      <c r="H24" s="360"/>
      <c r="I24" s="360">
        <v>1</v>
      </c>
      <c r="J24" s="360" t="s">
        <v>48</v>
      </c>
      <c r="K24" s="360" t="s">
        <v>56</v>
      </c>
      <c r="L24" s="5">
        <v>2</v>
      </c>
      <c r="M24" s="358">
        <v>17697</v>
      </c>
      <c r="N24" s="429">
        <v>1.25</v>
      </c>
      <c r="O24" s="358"/>
      <c r="P24" s="358">
        <v>4.3</v>
      </c>
      <c r="Q24" s="48">
        <f t="shared" si="26"/>
        <v>95121.374999999985</v>
      </c>
      <c r="R24" s="415">
        <f t="shared" si="2"/>
        <v>0</v>
      </c>
      <c r="S24" s="370">
        <f t="shared" si="22"/>
        <v>0</v>
      </c>
      <c r="T24" s="416">
        <f t="shared" si="23"/>
        <v>0.1</v>
      </c>
      <c r="U24" s="53">
        <f t="shared" si="24"/>
        <v>9512.1374999999989</v>
      </c>
      <c r="V24" s="417">
        <v>0.4</v>
      </c>
      <c r="W24" s="53">
        <f>M24*V24*N24</f>
        <v>8848.5</v>
      </c>
      <c r="X24" s="53">
        <f t="shared" si="3"/>
        <v>113482.01249999998</v>
      </c>
      <c r="Z24" s="13"/>
    </row>
    <row r="25" spans="1:26" s="6" customFormat="1" ht="15" x14ac:dyDescent="0.25">
      <c r="A25" s="360">
        <v>13</v>
      </c>
      <c r="B25" s="431" t="s">
        <v>87</v>
      </c>
      <c r="C25" s="371" t="s">
        <v>78</v>
      </c>
      <c r="D25" s="360" t="s">
        <v>28</v>
      </c>
      <c r="E25" s="360" t="s">
        <v>384</v>
      </c>
      <c r="F25" s="428"/>
      <c r="G25" s="360"/>
      <c r="H25" s="360"/>
      <c r="I25" s="360">
        <v>1</v>
      </c>
      <c r="J25" s="360" t="s">
        <v>48</v>
      </c>
      <c r="K25" s="360" t="s">
        <v>56</v>
      </c>
      <c r="L25" s="5">
        <v>1</v>
      </c>
      <c r="M25" s="358">
        <v>17698</v>
      </c>
      <c r="N25" s="429">
        <v>1.25</v>
      </c>
      <c r="O25" s="358"/>
      <c r="P25" s="358">
        <v>4.6900000000000004</v>
      </c>
      <c r="Q25" s="48">
        <f t="shared" si="26"/>
        <v>103754.52500000001</v>
      </c>
      <c r="R25" s="415">
        <f t="shared" ref="R25" si="27">IF(H25&gt;0,25%,0)</f>
        <v>0</v>
      </c>
      <c r="S25" s="370">
        <f t="shared" ref="S25" si="28">ROUND((Q25+U25)*R25,2)</f>
        <v>0</v>
      </c>
      <c r="T25" s="416">
        <f t="shared" ref="T25" si="29">IF(I25&gt;0,10%,0)</f>
        <v>0.1</v>
      </c>
      <c r="U25" s="53">
        <f t="shared" si="24"/>
        <v>10375.452500000001</v>
      </c>
      <c r="V25" s="417">
        <v>0.4</v>
      </c>
      <c r="W25" s="370">
        <f t="shared" ref="W25" si="30">M25*V25*N25</f>
        <v>8849</v>
      </c>
      <c r="X25" s="53">
        <f t="shared" si="3"/>
        <v>122978.97750000001</v>
      </c>
      <c r="Z25" s="13"/>
    </row>
    <row r="26" spans="1:26" s="6" customFormat="1" ht="15" x14ac:dyDescent="0.25">
      <c r="A26" s="360">
        <v>14</v>
      </c>
      <c r="B26" s="430" t="s">
        <v>385</v>
      </c>
      <c r="C26" s="371" t="s">
        <v>78</v>
      </c>
      <c r="D26" s="360" t="s">
        <v>28</v>
      </c>
      <c r="E26" s="360" t="s">
        <v>386</v>
      </c>
      <c r="F26" s="428"/>
      <c r="G26" s="360"/>
      <c r="H26" s="360"/>
      <c r="I26" s="360">
        <v>1</v>
      </c>
      <c r="J26" s="360" t="s">
        <v>48</v>
      </c>
      <c r="K26" s="360" t="s">
        <v>49</v>
      </c>
      <c r="L26" s="5">
        <v>2</v>
      </c>
      <c r="M26" s="358">
        <v>17697</v>
      </c>
      <c r="N26" s="429">
        <v>1.25</v>
      </c>
      <c r="O26" s="358"/>
      <c r="P26" s="358">
        <v>4.32</v>
      </c>
      <c r="Q26" s="48">
        <f t="shared" si="26"/>
        <v>95563.800000000017</v>
      </c>
      <c r="R26" s="415">
        <f t="shared" si="2"/>
        <v>0</v>
      </c>
      <c r="S26" s="370">
        <f t="shared" si="22"/>
        <v>0</v>
      </c>
      <c r="T26" s="416">
        <f t="shared" ref="T26:T38" si="31">IF(I26&gt;0,10%,0)</f>
        <v>0.1</v>
      </c>
      <c r="U26" s="53">
        <f t="shared" si="24"/>
        <v>9556.3800000000028</v>
      </c>
      <c r="V26" s="417">
        <v>0.4</v>
      </c>
      <c r="W26" s="370">
        <f t="shared" ref="W26:W41" si="32">M26*V26*N26</f>
        <v>8848.5</v>
      </c>
      <c r="X26" s="53">
        <f t="shared" si="3"/>
        <v>113968.68000000002</v>
      </c>
      <c r="Z26" s="13"/>
    </row>
    <row r="27" spans="1:26" s="6" customFormat="1" ht="15" x14ac:dyDescent="0.25">
      <c r="A27" s="360">
        <v>15</v>
      </c>
      <c r="B27" s="430" t="s">
        <v>337</v>
      </c>
      <c r="C27" s="371" t="s">
        <v>78</v>
      </c>
      <c r="D27" s="360" t="s">
        <v>28</v>
      </c>
      <c r="E27" s="360" t="s">
        <v>387</v>
      </c>
      <c r="F27" s="428"/>
      <c r="G27" s="360"/>
      <c r="H27" s="360"/>
      <c r="I27" s="360">
        <v>1</v>
      </c>
      <c r="J27" s="360" t="s">
        <v>48</v>
      </c>
      <c r="K27" s="360" t="s">
        <v>56</v>
      </c>
      <c r="L27" s="5">
        <v>2</v>
      </c>
      <c r="M27" s="358">
        <v>17697</v>
      </c>
      <c r="N27" s="429">
        <v>1.25</v>
      </c>
      <c r="O27" s="358"/>
      <c r="P27" s="358">
        <v>4.03</v>
      </c>
      <c r="Q27" s="48">
        <f t="shared" si="26"/>
        <v>89148.637500000012</v>
      </c>
      <c r="R27" s="415">
        <f t="shared" ref="R27" si="33">IF(H27&gt;0,25%,0)</f>
        <v>0</v>
      </c>
      <c r="S27" s="370">
        <f t="shared" si="22"/>
        <v>0</v>
      </c>
      <c r="T27" s="416">
        <f t="shared" si="31"/>
        <v>0.1</v>
      </c>
      <c r="U27" s="53">
        <f t="shared" si="24"/>
        <v>8914.8637500000023</v>
      </c>
      <c r="V27" s="417">
        <v>0.4</v>
      </c>
      <c r="W27" s="370">
        <f t="shared" si="32"/>
        <v>8848.5</v>
      </c>
      <c r="X27" s="53">
        <f t="shared" si="3"/>
        <v>106912.00125000002</v>
      </c>
      <c r="Z27" s="13"/>
    </row>
    <row r="28" spans="1:26" s="6" customFormat="1" ht="15" x14ac:dyDescent="0.25">
      <c r="A28" s="360">
        <v>16</v>
      </c>
      <c r="B28" s="430" t="s">
        <v>388</v>
      </c>
      <c r="C28" s="371" t="s">
        <v>78</v>
      </c>
      <c r="D28" s="360" t="s">
        <v>357</v>
      </c>
      <c r="E28" s="360" t="s">
        <v>389</v>
      </c>
      <c r="F28" s="428"/>
      <c r="G28" s="360"/>
      <c r="H28" s="360"/>
      <c r="I28" s="360">
        <v>1</v>
      </c>
      <c r="J28" s="360" t="s">
        <v>48</v>
      </c>
      <c r="K28" s="360" t="s">
        <v>49</v>
      </c>
      <c r="L28" s="5">
        <v>2</v>
      </c>
      <c r="M28" s="358">
        <v>17697</v>
      </c>
      <c r="N28" s="429">
        <v>1.25</v>
      </c>
      <c r="O28" s="358"/>
      <c r="P28" s="358">
        <v>4.04</v>
      </c>
      <c r="Q28" s="48">
        <f t="shared" si="26"/>
        <v>89369.85</v>
      </c>
      <c r="R28" s="415">
        <f t="shared" si="2"/>
        <v>0</v>
      </c>
      <c r="S28" s="370">
        <f t="shared" si="22"/>
        <v>0</v>
      </c>
      <c r="T28" s="416">
        <f t="shared" si="31"/>
        <v>0.1</v>
      </c>
      <c r="U28" s="53">
        <f t="shared" ref="U28:U69" si="34">Q28*10%</f>
        <v>8936.9850000000006</v>
      </c>
      <c r="V28" s="417">
        <v>0.4</v>
      </c>
      <c r="W28" s="370">
        <f t="shared" si="32"/>
        <v>8848.5</v>
      </c>
      <c r="X28" s="53">
        <f t="shared" si="3"/>
        <v>107155.33500000001</v>
      </c>
      <c r="Z28" s="9"/>
    </row>
    <row r="29" spans="1:26" s="6" customFormat="1" ht="15" x14ac:dyDescent="0.25">
      <c r="A29" s="360">
        <v>17</v>
      </c>
      <c r="B29" s="430" t="s">
        <v>77</v>
      </c>
      <c r="C29" s="371" t="s">
        <v>78</v>
      </c>
      <c r="D29" s="360" t="s">
        <v>28</v>
      </c>
      <c r="E29" s="360" t="s">
        <v>391</v>
      </c>
      <c r="F29" s="428"/>
      <c r="G29" s="360"/>
      <c r="H29" s="360"/>
      <c r="I29" s="360">
        <v>1</v>
      </c>
      <c r="J29" s="360" t="s">
        <v>48</v>
      </c>
      <c r="K29" s="360" t="s">
        <v>56</v>
      </c>
      <c r="L29" s="5">
        <v>2</v>
      </c>
      <c r="M29" s="358">
        <v>17697</v>
      </c>
      <c r="N29" s="429">
        <v>1.25</v>
      </c>
      <c r="O29" s="358"/>
      <c r="P29" s="358">
        <v>4.2300000000000004</v>
      </c>
      <c r="Q29" s="48">
        <f t="shared" si="26"/>
        <v>93572.887500000012</v>
      </c>
      <c r="R29" s="415">
        <f t="shared" ref="R29" si="35">IF(H29&gt;0,25%,0)</f>
        <v>0</v>
      </c>
      <c r="S29" s="370">
        <f t="shared" si="22"/>
        <v>0</v>
      </c>
      <c r="T29" s="416">
        <f t="shared" si="31"/>
        <v>0.1</v>
      </c>
      <c r="U29" s="53">
        <f t="shared" si="34"/>
        <v>9357.2887500000015</v>
      </c>
      <c r="V29" s="417">
        <v>0.4</v>
      </c>
      <c r="W29" s="370">
        <f t="shared" si="32"/>
        <v>8848.5</v>
      </c>
      <c r="X29" s="53">
        <f t="shared" si="3"/>
        <v>111778.67625000002</v>
      </c>
      <c r="Z29" s="9"/>
    </row>
    <row r="30" spans="1:26" s="6" customFormat="1" ht="15" x14ac:dyDescent="0.25">
      <c r="A30" s="428"/>
      <c r="B30" s="430" t="s">
        <v>437</v>
      </c>
      <c r="C30" s="426" t="s">
        <v>78</v>
      </c>
      <c r="D30" s="428" t="s">
        <v>357</v>
      </c>
      <c r="E30" s="428" t="s">
        <v>438</v>
      </c>
      <c r="F30" s="428"/>
      <c r="G30" s="428"/>
      <c r="H30" s="428"/>
      <c r="I30" s="428">
        <v>1</v>
      </c>
      <c r="J30" s="428" t="s">
        <v>48</v>
      </c>
      <c r="K30" s="428" t="s">
        <v>49</v>
      </c>
      <c r="L30" s="5">
        <v>2</v>
      </c>
      <c r="M30" s="358">
        <v>17697</v>
      </c>
      <c r="N30" s="429">
        <v>1.25</v>
      </c>
      <c r="O30" s="358"/>
      <c r="P30" s="358">
        <v>4.0999999999999996</v>
      </c>
      <c r="Q30" s="48">
        <f t="shared" ref="Q30" si="36">M30*P30*N30</f>
        <v>90697.125</v>
      </c>
      <c r="R30" s="415">
        <f t="shared" ref="R30" si="37">IF(H30&gt;0,25%,0)</f>
        <v>0</v>
      </c>
      <c r="S30" s="370">
        <f t="shared" ref="S30" si="38">ROUND((Q30+U30)*R30,2)</f>
        <v>0</v>
      </c>
      <c r="T30" s="416">
        <f t="shared" ref="T30" si="39">IF(I30&gt;0,10%,0)</f>
        <v>0.1</v>
      </c>
      <c r="U30" s="53">
        <f t="shared" ref="U30" si="40">Q30*10%</f>
        <v>9069.7124999999996</v>
      </c>
      <c r="V30" s="417">
        <v>0.4</v>
      </c>
      <c r="W30" s="370">
        <f t="shared" ref="W30" si="41">M30*V30*N30</f>
        <v>8848.5</v>
      </c>
      <c r="X30" s="53">
        <f t="shared" ref="X30" si="42">Q30+U30+W30</f>
        <v>108615.33749999999</v>
      </c>
      <c r="Z30" s="9"/>
    </row>
    <row r="31" spans="1:26" s="6" customFormat="1" ht="15" x14ac:dyDescent="0.25">
      <c r="A31" s="428"/>
      <c r="B31" s="430" t="s">
        <v>439</v>
      </c>
      <c r="C31" s="426" t="s">
        <v>78</v>
      </c>
      <c r="D31" s="428" t="s">
        <v>28</v>
      </c>
      <c r="E31" s="428" t="s">
        <v>440</v>
      </c>
      <c r="F31" s="428"/>
      <c r="G31" s="428"/>
      <c r="H31" s="428"/>
      <c r="I31" s="428">
        <v>1</v>
      </c>
      <c r="J31" s="428" t="s">
        <v>48</v>
      </c>
      <c r="K31" s="428" t="s">
        <v>56</v>
      </c>
      <c r="L31" s="5">
        <v>4</v>
      </c>
      <c r="M31" s="358">
        <v>17697</v>
      </c>
      <c r="N31" s="429">
        <v>1.25</v>
      </c>
      <c r="O31" s="358"/>
      <c r="P31" s="358">
        <v>3.71</v>
      </c>
      <c r="Q31" s="48">
        <f t="shared" ref="Q31:Q35" si="43">M31*P31*N31</f>
        <v>82069.837499999994</v>
      </c>
      <c r="R31" s="415">
        <f t="shared" ref="R31:R35" si="44">IF(H31&gt;0,25%,0)</f>
        <v>0</v>
      </c>
      <c r="S31" s="370">
        <f t="shared" ref="S31:S35" si="45">ROUND((Q31+U31)*R31,2)</f>
        <v>0</v>
      </c>
      <c r="T31" s="416">
        <f t="shared" ref="T31:T35" si="46">IF(I31&gt;0,10%,0)</f>
        <v>0.1</v>
      </c>
      <c r="U31" s="53">
        <f t="shared" ref="U31:U35" si="47">Q31*10%</f>
        <v>8206.9837499999994</v>
      </c>
      <c r="V31" s="417">
        <v>0.4</v>
      </c>
      <c r="W31" s="370">
        <f t="shared" ref="W31:W35" si="48">M31*V31*N31</f>
        <v>8848.5</v>
      </c>
      <c r="X31" s="53">
        <f t="shared" ref="X31:X35" si="49">Q31+U31+W31</f>
        <v>99125.321249999994</v>
      </c>
      <c r="Z31" s="9"/>
    </row>
    <row r="32" spans="1:26" s="6" customFormat="1" ht="15" x14ac:dyDescent="0.25">
      <c r="A32" s="428"/>
      <c r="B32" s="430" t="s">
        <v>441</v>
      </c>
      <c r="C32" s="426" t="s">
        <v>78</v>
      </c>
      <c r="D32" s="428" t="s">
        <v>28</v>
      </c>
      <c r="E32" s="428" t="s">
        <v>442</v>
      </c>
      <c r="F32" s="428"/>
      <c r="G32" s="428"/>
      <c r="H32" s="428"/>
      <c r="I32" s="428">
        <v>1</v>
      </c>
      <c r="J32" s="428" t="s">
        <v>48</v>
      </c>
      <c r="K32" s="428" t="s">
        <v>56</v>
      </c>
      <c r="L32" s="5">
        <v>4</v>
      </c>
      <c r="M32" s="358">
        <v>17697</v>
      </c>
      <c r="N32" s="429">
        <v>1.25</v>
      </c>
      <c r="O32" s="358"/>
      <c r="P32" s="358">
        <v>3.22</v>
      </c>
      <c r="Q32" s="48">
        <f t="shared" si="43"/>
        <v>71230.425000000003</v>
      </c>
      <c r="R32" s="415">
        <f t="shared" si="44"/>
        <v>0</v>
      </c>
      <c r="S32" s="370">
        <f t="shared" si="45"/>
        <v>0</v>
      </c>
      <c r="T32" s="416">
        <f t="shared" si="46"/>
        <v>0.1</v>
      </c>
      <c r="U32" s="53">
        <f t="shared" si="47"/>
        <v>7123.0425000000005</v>
      </c>
      <c r="V32" s="417">
        <v>0.4</v>
      </c>
      <c r="W32" s="370">
        <f t="shared" si="48"/>
        <v>8848.5</v>
      </c>
      <c r="X32" s="53">
        <f t="shared" si="49"/>
        <v>87201.967499999999</v>
      </c>
      <c r="Z32" s="9"/>
    </row>
    <row r="33" spans="1:26" s="6" customFormat="1" ht="15" x14ac:dyDescent="0.25">
      <c r="A33" s="428"/>
      <c r="B33" s="430" t="s">
        <v>347</v>
      </c>
      <c r="C33" s="426" t="s">
        <v>447</v>
      </c>
      <c r="D33" s="428" t="s">
        <v>28</v>
      </c>
      <c r="E33" s="428" t="s">
        <v>444</v>
      </c>
      <c r="F33" s="428"/>
      <c r="G33" s="428"/>
      <c r="H33" s="428"/>
      <c r="I33" s="428">
        <v>1</v>
      </c>
      <c r="J33" s="428" t="s">
        <v>48</v>
      </c>
      <c r="K33" s="428" t="s">
        <v>56</v>
      </c>
      <c r="L33" s="5">
        <v>2</v>
      </c>
      <c r="M33" s="358">
        <v>17697</v>
      </c>
      <c r="N33" s="429">
        <v>1</v>
      </c>
      <c r="O33" s="358"/>
      <c r="P33" s="358">
        <v>4.51</v>
      </c>
      <c r="Q33" s="48">
        <f t="shared" si="43"/>
        <v>79813.47</v>
      </c>
      <c r="R33" s="415">
        <f t="shared" si="44"/>
        <v>0</v>
      </c>
      <c r="S33" s="370">
        <f t="shared" si="45"/>
        <v>0</v>
      </c>
      <c r="T33" s="416">
        <f t="shared" si="46"/>
        <v>0.1</v>
      </c>
      <c r="U33" s="53">
        <f t="shared" si="47"/>
        <v>7981.3470000000007</v>
      </c>
      <c r="V33" s="417">
        <v>0.4</v>
      </c>
      <c r="W33" s="370">
        <f t="shared" si="48"/>
        <v>7078.8</v>
      </c>
      <c r="X33" s="53">
        <f t="shared" si="49"/>
        <v>94873.616999999998</v>
      </c>
      <c r="Z33" s="9"/>
    </row>
    <row r="34" spans="1:26" s="6" customFormat="1" ht="15" x14ac:dyDescent="0.25">
      <c r="A34" s="428"/>
      <c r="B34" s="430" t="s">
        <v>443</v>
      </c>
      <c r="C34" s="426" t="s">
        <v>78</v>
      </c>
      <c r="D34" s="428" t="s">
        <v>28</v>
      </c>
      <c r="E34" s="428" t="s">
        <v>446</v>
      </c>
      <c r="F34" s="428"/>
      <c r="G34" s="428"/>
      <c r="H34" s="428"/>
      <c r="I34" s="428">
        <v>2</v>
      </c>
      <c r="J34" s="428" t="s">
        <v>48</v>
      </c>
      <c r="K34" s="428" t="s">
        <v>49</v>
      </c>
      <c r="L34" s="5">
        <v>2</v>
      </c>
      <c r="M34" s="358">
        <v>17697</v>
      </c>
      <c r="N34" s="429">
        <v>2.25</v>
      </c>
      <c r="O34" s="358"/>
      <c r="P34" s="358">
        <v>5.37</v>
      </c>
      <c r="Q34" s="48">
        <f t="shared" ref="Q34" si="50">M34*P34*N34</f>
        <v>213824.0025</v>
      </c>
      <c r="R34" s="415">
        <f t="shared" ref="R34" si="51">IF(H34&gt;0,25%,0)</f>
        <v>0</v>
      </c>
      <c r="S34" s="370">
        <f t="shared" ref="S34" si="52">ROUND((Q34+U34)*R34,2)</f>
        <v>0</v>
      </c>
      <c r="T34" s="416">
        <f t="shared" ref="T34" si="53">IF(I34&gt;0,10%,0)</f>
        <v>0.1</v>
      </c>
      <c r="U34" s="53">
        <f t="shared" ref="U34" si="54">Q34*10%</f>
        <v>21382.400250000002</v>
      </c>
      <c r="V34" s="417">
        <v>1.4</v>
      </c>
      <c r="W34" s="370">
        <f t="shared" ref="W34" si="55">M34*V34*N34</f>
        <v>55745.549999999996</v>
      </c>
      <c r="X34" s="53">
        <f t="shared" ref="X34" si="56">Q34+U34+W34</f>
        <v>290951.95275</v>
      </c>
      <c r="Z34" s="9"/>
    </row>
    <row r="35" spans="1:26" s="6" customFormat="1" ht="15" x14ac:dyDescent="0.25">
      <c r="A35" s="428"/>
      <c r="B35" s="430" t="s">
        <v>445</v>
      </c>
      <c r="C35" s="426" t="s">
        <v>392</v>
      </c>
      <c r="D35" s="428" t="s">
        <v>28</v>
      </c>
      <c r="E35" s="428" t="s">
        <v>402</v>
      </c>
      <c r="F35" s="428"/>
      <c r="G35" s="428"/>
      <c r="H35" s="428"/>
      <c r="I35" s="428">
        <v>1</v>
      </c>
      <c r="J35" s="428" t="s">
        <v>48</v>
      </c>
      <c r="K35" s="428" t="s">
        <v>53</v>
      </c>
      <c r="L35" s="5">
        <v>4</v>
      </c>
      <c r="M35" s="358">
        <v>17697</v>
      </c>
      <c r="N35" s="429">
        <v>1</v>
      </c>
      <c r="O35" s="358"/>
      <c r="P35" s="358">
        <v>4.7300000000000004</v>
      </c>
      <c r="Q35" s="48">
        <f t="shared" si="43"/>
        <v>83706.810000000012</v>
      </c>
      <c r="R35" s="415">
        <f t="shared" si="44"/>
        <v>0</v>
      </c>
      <c r="S35" s="370">
        <f t="shared" si="45"/>
        <v>0</v>
      </c>
      <c r="T35" s="416">
        <f t="shared" si="46"/>
        <v>0.1</v>
      </c>
      <c r="U35" s="53">
        <f t="shared" si="47"/>
        <v>8370.6810000000023</v>
      </c>
      <c r="V35" s="417">
        <v>0.4</v>
      </c>
      <c r="W35" s="370">
        <f t="shared" si="48"/>
        <v>7078.8</v>
      </c>
      <c r="X35" s="53">
        <f t="shared" si="49"/>
        <v>99156.291000000012</v>
      </c>
      <c r="Z35" s="9"/>
    </row>
    <row r="36" spans="1:26" s="6" customFormat="1" ht="30" x14ac:dyDescent="0.25">
      <c r="A36" s="428">
        <v>18</v>
      </c>
      <c r="B36" s="430" t="s">
        <v>45</v>
      </c>
      <c r="C36" s="371" t="s">
        <v>394</v>
      </c>
      <c r="D36" s="360" t="s">
        <v>28</v>
      </c>
      <c r="E36" s="360" t="s">
        <v>350</v>
      </c>
      <c r="F36" s="428"/>
      <c r="G36" s="360"/>
      <c r="H36" s="360"/>
      <c r="I36" s="360">
        <v>1</v>
      </c>
      <c r="J36" s="360" t="s">
        <v>48</v>
      </c>
      <c r="K36" s="418" t="s">
        <v>53</v>
      </c>
      <c r="L36" s="5">
        <v>2</v>
      </c>
      <c r="M36" s="358">
        <v>17697</v>
      </c>
      <c r="N36" s="429">
        <v>0.75</v>
      </c>
      <c r="O36" s="358"/>
      <c r="P36" s="360">
        <v>4.8600000000000003</v>
      </c>
      <c r="Q36" s="48">
        <f t="shared" si="26"/>
        <v>64505.56500000001</v>
      </c>
      <c r="R36" s="415">
        <f t="shared" si="2"/>
        <v>0</v>
      </c>
      <c r="S36" s="370">
        <f t="shared" si="22"/>
        <v>0</v>
      </c>
      <c r="T36" s="416">
        <f t="shared" si="31"/>
        <v>0.1</v>
      </c>
      <c r="U36" s="53">
        <f t="shared" si="34"/>
        <v>6450.5565000000015</v>
      </c>
      <c r="V36" s="417">
        <v>0.4</v>
      </c>
      <c r="W36" s="370">
        <f t="shared" si="32"/>
        <v>5309.1</v>
      </c>
      <c r="X36" s="53">
        <f t="shared" si="3"/>
        <v>76265.221500000014</v>
      </c>
      <c r="Z36" s="9"/>
    </row>
    <row r="37" spans="1:26" s="6" customFormat="1" ht="30" x14ac:dyDescent="0.25">
      <c r="A37" s="360">
        <v>19</v>
      </c>
      <c r="B37" s="430" t="s">
        <v>355</v>
      </c>
      <c r="C37" s="371" t="s">
        <v>395</v>
      </c>
      <c r="D37" s="360" t="s">
        <v>28</v>
      </c>
      <c r="E37" s="360" t="s">
        <v>396</v>
      </c>
      <c r="F37" s="428"/>
      <c r="G37" s="360"/>
      <c r="H37" s="360"/>
      <c r="I37" s="360">
        <v>1</v>
      </c>
      <c r="J37" s="360" t="s">
        <v>48</v>
      </c>
      <c r="K37" s="360" t="s">
        <v>53</v>
      </c>
      <c r="L37" s="5">
        <v>2</v>
      </c>
      <c r="M37" s="358">
        <v>17697</v>
      </c>
      <c r="N37" s="429">
        <v>0.08</v>
      </c>
      <c r="O37" s="358"/>
      <c r="P37" s="360">
        <v>4.79</v>
      </c>
      <c r="Q37" s="48">
        <f t="shared" si="26"/>
        <v>6781.4904000000006</v>
      </c>
      <c r="R37" s="415">
        <f t="shared" si="2"/>
        <v>0</v>
      </c>
      <c r="S37" s="370">
        <f t="shared" si="22"/>
        <v>0</v>
      </c>
      <c r="T37" s="416">
        <f t="shared" si="31"/>
        <v>0.1</v>
      </c>
      <c r="U37" s="53">
        <f t="shared" si="34"/>
        <v>678.14904000000013</v>
      </c>
      <c r="V37" s="417">
        <v>0.4</v>
      </c>
      <c r="W37" s="370">
        <f t="shared" si="32"/>
        <v>566.30399999999997</v>
      </c>
      <c r="X37" s="53">
        <f t="shared" si="3"/>
        <v>8025.9434400000009</v>
      </c>
      <c r="Z37" s="9"/>
    </row>
    <row r="38" spans="1:26" s="6" customFormat="1" ht="30" x14ac:dyDescent="0.25">
      <c r="A38" s="360">
        <v>20</v>
      </c>
      <c r="B38" s="430" t="s">
        <v>397</v>
      </c>
      <c r="C38" s="371" t="s">
        <v>398</v>
      </c>
      <c r="D38" s="360" t="s">
        <v>28</v>
      </c>
      <c r="E38" s="360" t="s">
        <v>399</v>
      </c>
      <c r="F38" s="428"/>
      <c r="G38" s="360"/>
      <c r="H38" s="360"/>
      <c r="I38" s="360">
        <v>1</v>
      </c>
      <c r="J38" s="360" t="s">
        <v>48</v>
      </c>
      <c r="K38" s="360" t="s">
        <v>53</v>
      </c>
      <c r="L38" s="5">
        <v>3</v>
      </c>
      <c r="M38" s="358">
        <v>17697</v>
      </c>
      <c r="N38" s="375" t="s">
        <v>431</v>
      </c>
      <c r="O38" s="358"/>
      <c r="P38" s="360">
        <v>4.74</v>
      </c>
      <c r="Q38" s="48">
        <f t="shared" si="26"/>
        <v>5284.67814</v>
      </c>
      <c r="R38" s="415">
        <f t="shared" ref="R38" si="57">IF(H38&gt;0,25%,0)</f>
        <v>0</v>
      </c>
      <c r="S38" s="370">
        <f t="shared" si="22"/>
        <v>0</v>
      </c>
      <c r="T38" s="416">
        <f t="shared" si="31"/>
        <v>0.1</v>
      </c>
      <c r="U38" s="53">
        <f t="shared" si="34"/>
        <v>528.46781399999998</v>
      </c>
      <c r="V38" s="417">
        <v>0.4</v>
      </c>
      <c r="W38" s="370">
        <f t="shared" si="32"/>
        <v>445.96440000000001</v>
      </c>
      <c r="X38" s="53">
        <f t="shared" si="3"/>
        <v>6259.1103539999995</v>
      </c>
      <c r="Z38" s="9"/>
    </row>
    <row r="39" spans="1:26" s="6" customFormat="1" ht="15" x14ac:dyDescent="0.25">
      <c r="A39" s="360">
        <v>21</v>
      </c>
      <c r="B39" s="430" t="s">
        <v>273</v>
      </c>
      <c r="C39" s="371" t="s">
        <v>392</v>
      </c>
      <c r="D39" s="360" t="s">
        <v>28</v>
      </c>
      <c r="E39" s="360" t="s">
        <v>393</v>
      </c>
      <c r="F39" s="428"/>
      <c r="G39" s="375"/>
      <c r="H39" s="375"/>
      <c r="I39" s="375" t="s">
        <v>65</v>
      </c>
      <c r="J39" s="376" t="s">
        <v>48</v>
      </c>
      <c r="K39" s="376" t="s">
        <v>53</v>
      </c>
      <c r="L39" s="5">
        <v>3</v>
      </c>
      <c r="M39" s="358">
        <v>17697</v>
      </c>
      <c r="N39" s="429">
        <v>1</v>
      </c>
      <c r="O39" s="358"/>
      <c r="P39" s="358">
        <v>4.99</v>
      </c>
      <c r="Q39" s="48">
        <f t="shared" si="26"/>
        <v>88308.03</v>
      </c>
      <c r="R39" s="415">
        <f t="shared" si="2"/>
        <v>0</v>
      </c>
      <c r="S39" s="370">
        <f t="shared" ref="S39:S46" si="58">ROUND((Q39+U39)*R39,2)</f>
        <v>0</v>
      </c>
      <c r="T39" s="416">
        <f t="shared" ref="T39:T46" si="59">IF(I39&gt;0,10%,0)</f>
        <v>0.1</v>
      </c>
      <c r="U39" s="53">
        <f t="shared" si="34"/>
        <v>8830.8029999999999</v>
      </c>
      <c r="V39" s="417">
        <v>0.4</v>
      </c>
      <c r="W39" s="370">
        <f t="shared" si="32"/>
        <v>7078.8</v>
      </c>
      <c r="X39" s="53">
        <f t="shared" si="3"/>
        <v>104217.633</v>
      </c>
      <c r="Z39" s="9"/>
    </row>
    <row r="40" spans="1:26" s="6" customFormat="1" ht="15" x14ac:dyDescent="0.25">
      <c r="A40" s="360">
        <v>22</v>
      </c>
      <c r="B40" s="430" t="s">
        <v>400</v>
      </c>
      <c r="C40" s="371" t="s">
        <v>392</v>
      </c>
      <c r="D40" s="360" t="s">
        <v>28</v>
      </c>
      <c r="E40" s="360" t="s">
        <v>401</v>
      </c>
      <c r="F40" s="428"/>
      <c r="G40" s="375"/>
      <c r="H40" s="375"/>
      <c r="I40" s="375" t="s">
        <v>65</v>
      </c>
      <c r="J40" s="376" t="s">
        <v>48</v>
      </c>
      <c r="K40" s="376" t="s">
        <v>53</v>
      </c>
      <c r="L40" s="5">
        <v>3</v>
      </c>
      <c r="M40" s="358">
        <v>17697</v>
      </c>
      <c r="N40" s="429">
        <v>1</v>
      </c>
      <c r="O40" s="358"/>
      <c r="P40" s="358">
        <v>4.74</v>
      </c>
      <c r="Q40" s="48">
        <f t="shared" si="26"/>
        <v>83883.78</v>
      </c>
      <c r="R40" s="415">
        <f t="shared" si="2"/>
        <v>0</v>
      </c>
      <c r="S40" s="370">
        <f t="shared" si="58"/>
        <v>0</v>
      </c>
      <c r="T40" s="416">
        <f t="shared" si="59"/>
        <v>0.1</v>
      </c>
      <c r="U40" s="53">
        <f t="shared" si="34"/>
        <v>8388.3780000000006</v>
      </c>
      <c r="V40" s="417">
        <v>0.4</v>
      </c>
      <c r="W40" s="370">
        <f t="shared" si="32"/>
        <v>7078.8</v>
      </c>
      <c r="X40" s="53">
        <f t="shared" si="3"/>
        <v>99350.957999999999</v>
      </c>
      <c r="Z40" s="9"/>
    </row>
    <row r="41" spans="1:26" s="6" customFormat="1" ht="15" x14ac:dyDescent="0.25">
      <c r="A41" s="360">
        <v>23</v>
      </c>
      <c r="B41" s="430" t="s">
        <v>275</v>
      </c>
      <c r="C41" s="371" t="s">
        <v>392</v>
      </c>
      <c r="D41" s="360" t="s">
        <v>28</v>
      </c>
      <c r="E41" s="360" t="s">
        <v>402</v>
      </c>
      <c r="F41" s="428"/>
      <c r="G41" s="375"/>
      <c r="H41" s="375"/>
      <c r="I41" s="375" t="s">
        <v>65</v>
      </c>
      <c r="J41" s="376" t="s">
        <v>48</v>
      </c>
      <c r="K41" s="376" t="s">
        <v>53</v>
      </c>
      <c r="L41" s="5">
        <v>4</v>
      </c>
      <c r="M41" s="358">
        <v>17697</v>
      </c>
      <c r="N41" s="429">
        <v>1</v>
      </c>
      <c r="O41" s="358"/>
      <c r="P41" s="358">
        <v>4.7300000000000004</v>
      </c>
      <c r="Q41" s="48">
        <f t="shared" si="26"/>
        <v>83706.810000000012</v>
      </c>
      <c r="R41" s="415">
        <f t="shared" si="2"/>
        <v>0</v>
      </c>
      <c r="S41" s="370">
        <f t="shared" si="58"/>
        <v>0</v>
      </c>
      <c r="T41" s="416">
        <f t="shared" si="59"/>
        <v>0.1</v>
      </c>
      <c r="U41" s="53">
        <f t="shared" si="34"/>
        <v>8370.6810000000023</v>
      </c>
      <c r="V41" s="417">
        <v>0.4</v>
      </c>
      <c r="W41" s="370">
        <f t="shared" si="32"/>
        <v>7078.8</v>
      </c>
      <c r="X41" s="53">
        <f t="shared" si="3"/>
        <v>99156.291000000012</v>
      </c>
      <c r="Z41" s="9"/>
    </row>
    <row r="42" spans="1:26" s="6" customFormat="1" ht="15" x14ac:dyDescent="0.25">
      <c r="A42" s="360">
        <v>24</v>
      </c>
      <c r="B42" s="430" t="s">
        <v>345</v>
      </c>
      <c r="C42" s="371" t="s">
        <v>392</v>
      </c>
      <c r="D42" s="360" t="s">
        <v>28</v>
      </c>
      <c r="E42" s="360" t="s">
        <v>403</v>
      </c>
      <c r="F42" s="428"/>
      <c r="G42" s="360"/>
      <c r="H42" s="360"/>
      <c r="I42" s="360">
        <v>1</v>
      </c>
      <c r="J42" s="376" t="s">
        <v>48</v>
      </c>
      <c r="K42" s="376" t="s">
        <v>53</v>
      </c>
      <c r="L42" s="5">
        <v>4</v>
      </c>
      <c r="M42" s="358">
        <v>17697</v>
      </c>
      <c r="N42" s="429">
        <v>1</v>
      </c>
      <c r="O42" s="375"/>
      <c r="P42" s="358">
        <v>4.67</v>
      </c>
      <c r="Q42" s="48">
        <f t="shared" si="26"/>
        <v>82644.990000000005</v>
      </c>
      <c r="R42" s="415">
        <f t="shared" si="2"/>
        <v>0</v>
      </c>
      <c r="S42" s="370">
        <f t="shared" si="58"/>
        <v>0</v>
      </c>
      <c r="T42" s="416">
        <f t="shared" si="59"/>
        <v>0.1</v>
      </c>
      <c r="U42" s="53">
        <f t="shared" si="34"/>
        <v>8264.4990000000016</v>
      </c>
      <c r="V42" s="417">
        <v>0.4</v>
      </c>
      <c r="W42" s="370">
        <f t="shared" ref="W42:W46" si="60">M42*V42*N42</f>
        <v>7078.8</v>
      </c>
      <c r="X42" s="53">
        <f t="shared" si="3"/>
        <v>97988.289000000004</v>
      </c>
      <c r="Z42" s="9"/>
    </row>
    <row r="43" spans="1:26" s="6" customFormat="1" ht="15" x14ac:dyDescent="0.25">
      <c r="A43" s="360">
        <v>25</v>
      </c>
      <c r="B43" s="430" t="s">
        <v>404</v>
      </c>
      <c r="C43" s="371" t="s">
        <v>392</v>
      </c>
      <c r="D43" s="360" t="s">
        <v>28</v>
      </c>
      <c r="E43" s="360" t="s">
        <v>41</v>
      </c>
      <c r="F43" s="428"/>
      <c r="G43" s="360"/>
      <c r="H43" s="360"/>
      <c r="I43" s="360">
        <v>1</v>
      </c>
      <c r="J43" s="376" t="s">
        <v>48</v>
      </c>
      <c r="K43" s="376" t="s">
        <v>53</v>
      </c>
      <c r="L43" s="5">
        <v>4</v>
      </c>
      <c r="M43" s="358">
        <v>17697</v>
      </c>
      <c r="N43" s="429">
        <v>1</v>
      </c>
      <c r="O43" s="375"/>
      <c r="P43" s="358">
        <v>4.0999999999999996</v>
      </c>
      <c r="Q43" s="48">
        <f t="shared" si="26"/>
        <v>72557.7</v>
      </c>
      <c r="R43" s="415">
        <f t="shared" si="2"/>
        <v>0</v>
      </c>
      <c r="S43" s="370">
        <f t="shared" si="58"/>
        <v>0</v>
      </c>
      <c r="T43" s="416">
        <f t="shared" si="59"/>
        <v>0.1</v>
      </c>
      <c r="U43" s="53">
        <f t="shared" si="34"/>
        <v>7255.77</v>
      </c>
      <c r="V43" s="417">
        <v>0.4</v>
      </c>
      <c r="W43" s="370">
        <f t="shared" si="60"/>
        <v>7078.8</v>
      </c>
      <c r="X43" s="53">
        <f t="shared" si="3"/>
        <v>86892.27</v>
      </c>
      <c r="Z43" s="9"/>
    </row>
    <row r="44" spans="1:26" s="6" customFormat="1" ht="15" x14ac:dyDescent="0.25">
      <c r="A44" s="360">
        <v>26</v>
      </c>
      <c r="B44" s="430" t="s">
        <v>405</v>
      </c>
      <c r="C44" s="371" t="s">
        <v>430</v>
      </c>
      <c r="D44" s="360" t="s">
        <v>28</v>
      </c>
      <c r="E44" s="360" t="s">
        <v>406</v>
      </c>
      <c r="F44" s="428"/>
      <c r="G44" s="360"/>
      <c r="H44" s="360"/>
      <c r="I44" s="360">
        <v>1</v>
      </c>
      <c r="J44" s="376" t="s">
        <v>48</v>
      </c>
      <c r="K44" s="376" t="s">
        <v>53</v>
      </c>
      <c r="L44" s="5">
        <v>4</v>
      </c>
      <c r="M44" s="358">
        <v>17697</v>
      </c>
      <c r="N44" s="429">
        <v>1</v>
      </c>
      <c r="O44" s="379"/>
      <c r="P44" s="358">
        <v>4.38</v>
      </c>
      <c r="Q44" s="48">
        <f t="shared" si="26"/>
        <v>77512.86</v>
      </c>
      <c r="R44" s="415">
        <f t="shared" si="2"/>
        <v>0</v>
      </c>
      <c r="S44" s="370">
        <f t="shared" si="58"/>
        <v>0</v>
      </c>
      <c r="T44" s="416">
        <f t="shared" si="59"/>
        <v>0.1</v>
      </c>
      <c r="U44" s="53">
        <f t="shared" si="34"/>
        <v>7751.2860000000001</v>
      </c>
      <c r="V44" s="417">
        <v>0.4</v>
      </c>
      <c r="W44" s="370">
        <f t="shared" si="60"/>
        <v>7078.8</v>
      </c>
      <c r="X44" s="53">
        <f t="shared" si="3"/>
        <v>92342.946000000011</v>
      </c>
      <c r="Z44" s="9"/>
    </row>
    <row r="45" spans="1:26" s="6" customFormat="1" ht="15" x14ac:dyDescent="0.25">
      <c r="A45" s="360">
        <v>27</v>
      </c>
      <c r="B45" s="430" t="s">
        <v>407</v>
      </c>
      <c r="C45" s="426" t="s">
        <v>430</v>
      </c>
      <c r="D45" s="360" t="s">
        <v>28</v>
      </c>
      <c r="E45" s="360" t="s">
        <v>408</v>
      </c>
      <c r="F45" s="428"/>
      <c r="G45" s="360"/>
      <c r="H45" s="360"/>
      <c r="I45" s="360">
        <v>1</v>
      </c>
      <c r="J45" s="376" t="s">
        <v>48</v>
      </c>
      <c r="K45" s="376" t="s">
        <v>53</v>
      </c>
      <c r="L45" s="5">
        <v>4</v>
      </c>
      <c r="M45" s="358">
        <v>17697</v>
      </c>
      <c r="N45" s="429">
        <v>1</v>
      </c>
      <c r="O45" s="379"/>
      <c r="P45" s="358">
        <v>4.33</v>
      </c>
      <c r="Q45" s="48">
        <f t="shared" si="26"/>
        <v>76628.009999999995</v>
      </c>
      <c r="R45" s="415">
        <f t="shared" ref="R45" si="61">IF(H45&gt;0,25%,0)</f>
        <v>0</v>
      </c>
      <c r="S45" s="370">
        <f t="shared" si="58"/>
        <v>0</v>
      </c>
      <c r="T45" s="416">
        <f t="shared" si="59"/>
        <v>0.1</v>
      </c>
      <c r="U45" s="53">
        <f t="shared" si="34"/>
        <v>7662.8009999999995</v>
      </c>
      <c r="V45" s="417">
        <v>0.4</v>
      </c>
      <c r="W45" s="370">
        <f t="shared" si="60"/>
        <v>7078.8</v>
      </c>
      <c r="X45" s="53">
        <f t="shared" si="3"/>
        <v>91369.61099999999</v>
      </c>
      <c r="Z45" s="9"/>
    </row>
    <row r="46" spans="1:26" s="6" customFormat="1" ht="15" x14ac:dyDescent="0.25">
      <c r="A46" s="557">
        <v>28</v>
      </c>
      <c r="B46" s="553" t="s">
        <v>356</v>
      </c>
      <c r="C46" s="371" t="s">
        <v>409</v>
      </c>
      <c r="D46" s="360" t="s">
        <v>28</v>
      </c>
      <c r="E46" s="360" t="s">
        <v>410</v>
      </c>
      <c r="F46" s="428"/>
      <c r="G46" s="360"/>
      <c r="H46" s="360"/>
      <c r="I46" s="557">
        <v>1</v>
      </c>
      <c r="J46" s="376" t="s">
        <v>48</v>
      </c>
      <c r="K46" s="376" t="s">
        <v>53</v>
      </c>
      <c r="L46" s="5">
        <v>4</v>
      </c>
      <c r="M46" s="358">
        <v>17697</v>
      </c>
      <c r="N46" s="429">
        <v>1</v>
      </c>
      <c r="O46" s="375"/>
      <c r="P46" s="358">
        <v>4.2699999999999996</v>
      </c>
      <c r="Q46" s="48">
        <f t="shared" si="26"/>
        <v>75566.189999999988</v>
      </c>
      <c r="R46" s="415">
        <f t="shared" si="2"/>
        <v>0</v>
      </c>
      <c r="S46" s="370">
        <f t="shared" si="58"/>
        <v>0</v>
      </c>
      <c r="T46" s="416">
        <f t="shared" si="59"/>
        <v>0.1</v>
      </c>
      <c r="U46" s="53">
        <f t="shared" si="34"/>
        <v>7556.6189999999988</v>
      </c>
      <c r="V46" s="417">
        <v>0.4</v>
      </c>
      <c r="W46" s="370">
        <f t="shared" si="60"/>
        <v>7078.8</v>
      </c>
      <c r="X46" s="53">
        <f t="shared" si="3"/>
        <v>90201.608999999982</v>
      </c>
      <c r="Z46" s="13"/>
    </row>
    <row r="47" spans="1:26" s="6" customFormat="1" ht="15" x14ac:dyDescent="0.25">
      <c r="A47" s="558"/>
      <c r="B47" s="554"/>
      <c r="C47" s="371" t="s">
        <v>58</v>
      </c>
      <c r="D47" s="428" t="s">
        <v>28</v>
      </c>
      <c r="E47" s="360" t="s">
        <v>410</v>
      </c>
      <c r="F47" s="428"/>
      <c r="G47" s="414"/>
      <c r="H47" s="375"/>
      <c r="I47" s="558"/>
      <c r="J47" s="376" t="s">
        <v>48</v>
      </c>
      <c r="K47" s="376" t="s">
        <v>53</v>
      </c>
      <c r="L47" s="5">
        <v>4</v>
      </c>
      <c r="M47" s="358">
        <v>17697</v>
      </c>
      <c r="N47" s="429">
        <v>0.5</v>
      </c>
      <c r="O47" s="5"/>
      <c r="P47" s="358">
        <v>4.2699999999999996</v>
      </c>
      <c r="Q47" s="48">
        <f t="shared" si="26"/>
        <v>37783.094999999994</v>
      </c>
      <c r="R47" s="415">
        <f t="shared" si="2"/>
        <v>0</v>
      </c>
      <c r="S47" s="370">
        <f t="shared" ref="S47:S55" si="62">ROUND((Q47+U47)*R47,2)</f>
        <v>0</v>
      </c>
      <c r="T47" s="416">
        <f t="shared" ref="T47:T49" si="63">IF(I47&gt;0,10%,0)</f>
        <v>0</v>
      </c>
      <c r="U47" s="53">
        <f t="shared" si="34"/>
        <v>3778.3094999999994</v>
      </c>
      <c r="V47" s="417">
        <v>0.4</v>
      </c>
      <c r="W47" s="370">
        <f t="shared" ref="W47:W50" si="64">M47*V47*N47</f>
        <v>3539.4</v>
      </c>
      <c r="X47" s="53">
        <f t="shared" si="3"/>
        <v>45100.804499999991</v>
      </c>
      <c r="Z47" s="13"/>
    </row>
    <row r="48" spans="1:26" s="6" customFormat="1" ht="30" x14ac:dyDescent="0.25">
      <c r="A48" s="360">
        <v>29</v>
      </c>
      <c r="B48" s="430" t="s">
        <v>332</v>
      </c>
      <c r="C48" s="371" t="s">
        <v>411</v>
      </c>
      <c r="D48" s="360" t="s">
        <v>28</v>
      </c>
      <c r="E48" s="360" t="s">
        <v>412</v>
      </c>
      <c r="F48" s="428"/>
      <c r="G48" s="375"/>
      <c r="H48" s="375"/>
      <c r="I48" s="375" t="s">
        <v>65</v>
      </c>
      <c r="J48" s="376" t="s">
        <v>48</v>
      </c>
      <c r="K48" s="376" t="s">
        <v>56</v>
      </c>
      <c r="L48" s="5">
        <v>2</v>
      </c>
      <c r="M48" s="358">
        <v>17697</v>
      </c>
      <c r="N48" s="429">
        <v>1.25</v>
      </c>
      <c r="O48" s="5"/>
      <c r="P48" s="358">
        <v>4.16</v>
      </c>
      <c r="Q48" s="48">
        <f t="shared" si="26"/>
        <v>92024.400000000009</v>
      </c>
      <c r="R48" s="415">
        <f t="shared" si="2"/>
        <v>0</v>
      </c>
      <c r="S48" s="370">
        <f t="shared" si="62"/>
        <v>0</v>
      </c>
      <c r="T48" s="416">
        <f t="shared" si="63"/>
        <v>0.1</v>
      </c>
      <c r="U48" s="53">
        <f t="shared" si="34"/>
        <v>9202.44</v>
      </c>
      <c r="V48" s="417">
        <v>0.4</v>
      </c>
      <c r="W48" s="370">
        <f t="shared" si="64"/>
        <v>8848.5</v>
      </c>
      <c r="X48" s="53">
        <f t="shared" si="3"/>
        <v>110075.34000000001</v>
      </c>
      <c r="Z48" s="13"/>
    </row>
    <row r="49" spans="1:32" s="6" customFormat="1" ht="30" x14ac:dyDescent="0.25">
      <c r="A49" s="360">
        <v>30</v>
      </c>
      <c r="B49" s="430" t="s">
        <v>413</v>
      </c>
      <c r="C49" s="371" t="s">
        <v>99</v>
      </c>
      <c r="D49" s="360" t="s">
        <v>28</v>
      </c>
      <c r="E49" s="360" t="s">
        <v>41</v>
      </c>
      <c r="F49" s="428"/>
      <c r="G49" s="375"/>
      <c r="H49" s="375"/>
      <c r="I49" s="375" t="s">
        <v>65</v>
      </c>
      <c r="J49" s="376" t="s">
        <v>48</v>
      </c>
      <c r="K49" s="376" t="s">
        <v>49</v>
      </c>
      <c r="L49" s="5">
        <v>4</v>
      </c>
      <c r="M49" s="358">
        <v>17697</v>
      </c>
      <c r="N49" s="429">
        <v>1.25</v>
      </c>
      <c r="O49" s="5"/>
      <c r="P49" s="358">
        <v>3.32</v>
      </c>
      <c r="Q49" s="48">
        <f t="shared" si="26"/>
        <v>73442.549999999988</v>
      </c>
      <c r="R49" s="415">
        <f t="shared" si="2"/>
        <v>0</v>
      </c>
      <c r="S49" s="370">
        <f t="shared" si="62"/>
        <v>0</v>
      </c>
      <c r="T49" s="416">
        <f t="shared" si="63"/>
        <v>0.1</v>
      </c>
      <c r="U49" s="53">
        <f t="shared" si="34"/>
        <v>7344.2549999999992</v>
      </c>
      <c r="V49" s="417">
        <v>0.4</v>
      </c>
      <c r="W49" s="370">
        <f t="shared" si="64"/>
        <v>8848.5</v>
      </c>
      <c r="X49" s="53">
        <f t="shared" si="3"/>
        <v>89635.304999999993</v>
      </c>
      <c r="Z49" s="13"/>
    </row>
    <row r="50" spans="1:32" s="6" customFormat="1" ht="30" x14ac:dyDescent="0.25">
      <c r="A50" s="360">
        <v>31</v>
      </c>
      <c r="B50" s="430" t="s">
        <v>295</v>
      </c>
      <c r="C50" s="371" t="s">
        <v>92</v>
      </c>
      <c r="D50" s="360" t="s">
        <v>28</v>
      </c>
      <c r="E50" s="360" t="s">
        <v>371</v>
      </c>
      <c r="F50" s="428"/>
      <c r="G50" s="360"/>
      <c r="H50" s="360"/>
      <c r="I50" s="360">
        <v>1</v>
      </c>
      <c r="J50" s="376" t="s">
        <v>94</v>
      </c>
      <c r="K50" s="376" t="s">
        <v>94</v>
      </c>
      <c r="L50" s="5">
        <v>1</v>
      </c>
      <c r="M50" s="358">
        <v>17697</v>
      </c>
      <c r="N50" s="429">
        <v>0.25</v>
      </c>
      <c r="O50" s="375"/>
      <c r="P50" s="358">
        <v>3.08</v>
      </c>
      <c r="Q50" s="48">
        <f t="shared" si="26"/>
        <v>13626.69</v>
      </c>
      <c r="R50" s="415">
        <f t="shared" si="2"/>
        <v>0</v>
      </c>
      <c r="S50" s="370">
        <f t="shared" si="62"/>
        <v>0</v>
      </c>
      <c r="T50" s="416">
        <f t="shared" ref="T50:T55" si="65">IF(I50&gt;0,10%,0)</f>
        <v>0.1</v>
      </c>
      <c r="U50" s="53">
        <f t="shared" si="34"/>
        <v>1362.6690000000001</v>
      </c>
      <c r="V50" s="417"/>
      <c r="W50" s="370">
        <f t="shared" si="64"/>
        <v>0</v>
      </c>
      <c r="X50" s="53">
        <f t="shared" si="3"/>
        <v>14989.359</v>
      </c>
      <c r="Z50" s="9"/>
    </row>
    <row r="51" spans="1:32" s="6" customFormat="1" ht="15" x14ac:dyDescent="0.25">
      <c r="A51" s="360">
        <v>32</v>
      </c>
      <c r="B51" s="430" t="s">
        <v>338</v>
      </c>
      <c r="C51" s="371" t="s">
        <v>95</v>
      </c>
      <c r="D51" s="360" t="s">
        <v>35</v>
      </c>
      <c r="E51" s="375" t="s">
        <v>427</v>
      </c>
      <c r="F51" s="375"/>
      <c r="G51" s="375"/>
      <c r="H51" s="375"/>
      <c r="I51" s="375" t="s">
        <v>65</v>
      </c>
      <c r="J51" s="376"/>
      <c r="K51" s="5" t="s">
        <v>94</v>
      </c>
      <c r="L51" s="5">
        <v>1</v>
      </c>
      <c r="M51" s="358">
        <v>17697</v>
      </c>
      <c r="N51" s="429">
        <v>1.25</v>
      </c>
      <c r="O51" s="375"/>
      <c r="P51" s="358">
        <v>3.04</v>
      </c>
      <c r="Q51" s="48">
        <f t="shared" si="26"/>
        <v>67248.599999999991</v>
      </c>
      <c r="R51" s="415">
        <f t="shared" si="2"/>
        <v>0</v>
      </c>
      <c r="S51" s="370">
        <f t="shared" si="62"/>
        <v>0</v>
      </c>
      <c r="T51" s="416">
        <f t="shared" si="65"/>
        <v>0.1</v>
      </c>
      <c r="U51" s="53">
        <f t="shared" si="34"/>
        <v>6724.86</v>
      </c>
      <c r="V51" s="417">
        <v>0.7</v>
      </c>
      <c r="W51" s="370">
        <f>6636.38+8848.5</f>
        <v>15484.880000000001</v>
      </c>
      <c r="X51" s="53">
        <f t="shared" si="3"/>
        <v>89458.34</v>
      </c>
      <c r="Z51" s="9"/>
    </row>
    <row r="52" spans="1:32" s="6" customFormat="1" ht="15" x14ac:dyDescent="0.25">
      <c r="A52" s="360">
        <v>33</v>
      </c>
      <c r="B52" s="430" t="s">
        <v>339</v>
      </c>
      <c r="C52" s="371" t="s">
        <v>95</v>
      </c>
      <c r="D52" s="360" t="s">
        <v>35</v>
      </c>
      <c r="E52" s="375" t="s">
        <v>422</v>
      </c>
      <c r="F52" s="375"/>
      <c r="G52" s="375"/>
      <c r="H52" s="375"/>
      <c r="I52" s="375" t="s">
        <v>65</v>
      </c>
      <c r="J52" s="376"/>
      <c r="K52" s="5" t="s">
        <v>94</v>
      </c>
      <c r="L52" s="5">
        <v>1</v>
      </c>
      <c r="M52" s="358">
        <v>17697</v>
      </c>
      <c r="N52" s="429">
        <v>1.25</v>
      </c>
      <c r="O52" s="375"/>
      <c r="P52" s="358">
        <v>3.16</v>
      </c>
      <c r="Q52" s="48">
        <f t="shared" si="26"/>
        <v>69903.150000000009</v>
      </c>
      <c r="R52" s="415">
        <f t="shared" si="2"/>
        <v>0</v>
      </c>
      <c r="S52" s="370">
        <f t="shared" si="62"/>
        <v>0</v>
      </c>
      <c r="T52" s="416">
        <f t="shared" si="65"/>
        <v>0.1</v>
      </c>
      <c r="U52" s="53">
        <f t="shared" si="34"/>
        <v>6990.3150000000014</v>
      </c>
      <c r="V52" s="417">
        <v>0.7</v>
      </c>
      <c r="W52" s="370">
        <f t="shared" ref="W52:W54" si="66">6636.38+8848.5</f>
        <v>15484.880000000001</v>
      </c>
      <c r="X52" s="53">
        <f t="shared" si="3"/>
        <v>92378.345000000016</v>
      </c>
      <c r="Z52" s="9"/>
    </row>
    <row r="53" spans="1:32" s="6" customFormat="1" ht="15" x14ac:dyDescent="0.25">
      <c r="A53" s="360">
        <v>34</v>
      </c>
      <c r="B53" s="430" t="s">
        <v>97</v>
      </c>
      <c r="C53" s="371" t="s">
        <v>95</v>
      </c>
      <c r="D53" s="360" t="s">
        <v>35</v>
      </c>
      <c r="E53" s="375" t="s">
        <v>426</v>
      </c>
      <c r="F53" s="375"/>
      <c r="G53" s="375"/>
      <c r="H53" s="375"/>
      <c r="I53" s="375" t="s">
        <v>65</v>
      </c>
      <c r="J53" s="376"/>
      <c r="K53" s="5" t="s">
        <v>94</v>
      </c>
      <c r="L53" s="5">
        <v>1</v>
      </c>
      <c r="M53" s="358">
        <v>17697</v>
      </c>
      <c r="N53" s="429">
        <v>1.25</v>
      </c>
      <c r="O53" s="375"/>
      <c r="P53" s="358">
        <v>3.04</v>
      </c>
      <c r="Q53" s="48">
        <f t="shared" si="26"/>
        <v>67248.599999999991</v>
      </c>
      <c r="R53" s="415">
        <f t="shared" si="2"/>
        <v>0</v>
      </c>
      <c r="S53" s="370">
        <f t="shared" si="62"/>
        <v>0</v>
      </c>
      <c r="T53" s="416">
        <f t="shared" si="65"/>
        <v>0.1</v>
      </c>
      <c r="U53" s="53">
        <f t="shared" si="34"/>
        <v>6724.86</v>
      </c>
      <c r="V53" s="417">
        <v>0.7</v>
      </c>
      <c r="W53" s="370">
        <f t="shared" si="66"/>
        <v>15484.880000000001</v>
      </c>
      <c r="X53" s="53">
        <f t="shared" si="3"/>
        <v>89458.34</v>
      </c>
      <c r="Z53" s="9"/>
    </row>
    <row r="54" spans="1:32" s="6" customFormat="1" ht="15" x14ac:dyDescent="0.25">
      <c r="A54" s="360">
        <v>35</v>
      </c>
      <c r="B54" s="430" t="s">
        <v>362</v>
      </c>
      <c r="C54" s="371" t="s">
        <v>95</v>
      </c>
      <c r="D54" s="360" t="s">
        <v>118</v>
      </c>
      <c r="E54" s="375" t="s">
        <v>425</v>
      </c>
      <c r="F54" s="375"/>
      <c r="G54" s="375"/>
      <c r="H54" s="375"/>
      <c r="I54" s="375" t="s">
        <v>65</v>
      </c>
      <c r="J54" s="376"/>
      <c r="K54" s="5" t="s">
        <v>94</v>
      </c>
      <c r="L54" s="5">
        <v>1</v>
      </c>
      <c r="M54" s="358">
        <v>17697</v>
      </c>
      <c r="N54" s="429">
        <v>1.25</v>
      </c>
      <c r="O54" s="375"/>
      <c r="P54" s="358">
        <v>3.08</v>
      </c>
      <c r="Q54" s="48">
        <f t="shared" si="26"/>
        <v>68133.45</v>
      </c>
      <c r="R54" s="415">
        <f t="shared" si="2"/>
        <v>0</v>
      </c>
      <c r="S54" s="370">
        <f t="shared" si="62"/>
        <v>0</v>
      </c>
      <c r="T54" s="416">
        <f t="shared" si="65"/>
        <v>0.1</v>
      </c>
      <c r="U54" s="53">
        <f t="shared" si="34"/>
        <v>6813.3450000000003</v>
      </c>
      <c r="V54" s="417">
        <v>0.7</v>
      </c>
      <c r="W54" s="370">
        <f t="shared" si="66"/>
        <v>15484.880000000001</v>
      </c>
      <c r="X54" s="53">
        <f t="shared" si="3"/>
        <v>90431.675000000003</v>
      </c>
      <c r="Z54" s="9"/>
    </row>
    <row r="55" spans="1:32" s="6" customFormat="1" ht="15" x14ac:dyDescent="0.25">
      <c r="A55" s="360">
        <v>36</v>
      </c>
      <c r="B55" s="430" t="s">
        <v>346</v>
      </c>
      <c r="C55" s="371" t="s">
        <v>95</v>
      </c>
      <c r="D55" s="360" t="s">
        <v>118</v>
      </c>
      <c r="E55" s="375" t="s">
        <v>423</v>
      </c>
      <c r="F55" s="375"/>
      <c r="G55" s="375"/>
      <c r="H55" s="375"/>
      <c r="I55" s="375" t="s">
        <v>65</v>
      </c>
      <c r="J55" s="376"/>
      <c r="K55" s="5" t="s">
        <v>94</v>
      </c>
      <c r="L55" s="5">
        <v>1</v>
      </c>
      <c r="M55" s="358">
        <v>17697</v>
      </c>
      <c r="N55" s="429">
        <v>1.25</v>
      </c>
      <c r="O55" s="375"/>
      <c r="P55" s="358">
        <v>3.12</v>
      </c>
      <c r="Q55" s="48">
        <f t="shared" si="26"/>
        <v>69018.3</v>
      </c>
      <c r="R55" s="415">
        <f t="shared" ref="R55" si="67">IF(H55&gt;0,25%,0)</f>
        <v>0</v>
      </c>
      <c r="S55" s="370">
        <f t="shared" si="62"/>
        <v>0</v>
      </c>
      <c r="T55" s="416">
        <f t="shared" si="65"/>
        <v>0.1</v>
      </c>
      <c r="U55" s="53">
        <f t="shared" si="34"/>
        <v>6901.8300000000008</v>
      </c>
      <c r="V55" s="417">
        <v>0.7</v>
      </c>
      <c r="W55" s="370">
        <v>15484.88</v>
      </c>
      <c r="X55" s="53">
        <f t="shared" si="3"/>
        <v>91405.010000000009</v>
      </c>
      <c r="Z55" s="9"/>
    </row>
    <row r="56" spans="1:32" ht="15" x14ac:dyDescent="0.25">
      <c r="A56" s="385">
        <v>37</v>
      </c>
      <c r="B56" s="434" t="s">
        <v>105</v>
      </c>
      <c r="C56" s="399" t="s">
        <v>106</v>
      </c>
      <c r="D56" s="385" t="s">
        <v>118</v>
      </c>
      <c r="E56" s="385" t="s">
        <v>372</v>
      </c>
      <c r="F56" s="385"/>
      <c r="G56" s="388"/>
      <c r="H56" s="388"/>
      <c r="I56" s="385">
        <v>1</v>
      </c>
      <c r="J56" s="389"/>
      <c r="K56" s="389"/>
      <c r="L56" s="385">
        <v>5</v>
      </c>
      <c r="M56" s="393">
        <v>17697</v>
      </c>
      <c r="N56" s="393">
        <v>1</v>
      </c>
      <c r="O56" s="393"/>
      <c r="P56" s="393">
        <v>2.92</v>
      </c>
      <c r="Q56" s="48">
        <f t="shared" si="26"/>
        <v>51675.24</v>
      </c>
      <c r="R56" s="419">
        <f>IF(H56&gt;0,25%,0)</f>
        <v>0</v>
      </c>
      <c r="S56" s="398">
        <f t="shared" ref="S56:S69" si="68">ROUND((Q56+U56)*R56,2)</f>
        <v>0</v>
      </c>
      <c r="T56" s="420">
        <f t="shared" ref="T56:T69" si="69">IF(I56&gt;0,10%,0)</f>
        <v>0.1</v>
      </c>
      <c r="U56" s="53">
        <f t="shared" si="34"/>
        <v>5167.5240000000003</v>
      </c>
      <c r="V56" s="397">
        <v>0.3</v>
      </c>
      <c r="W56" s="370">
        <f>M56*V56*N56</f>
        <v>5309.0999999999995</v>
      </c>
      <c r="X56" s="53">
        <f t="shared" si="3"/>
        <v>62151.863999999994</v>
      </c>
      <c r="Z56" s="403">
        <v>22156</v>
      </c>
      <c r="AA56" s="403">
        <f>76561.65/1.25/2</f>
        <v>30624.659999999996</v>
      </c>
      <c r="AB56" s="403">
        <f>Z56-AA56</f>
        <v>-8468.6599999999962</v>
      </c>
      <c r="AC56" s="403"/>
      <c r="AD56" s="403">
        <f>30624.66*2</f>
        <v>61249.32</v>
      </c>
      <c r="AE56" s="403"/>
      <c r="AF56" s="403"/>
    </row>
    <row r="57" spans="1:32" ht="15" x14ac:dyDescent="0.25">
      <c r="A57" s="385">
        <v>38</v>
      </c>
      <c r="B57" s="434" t="s">
        <v>340</v>
      </c>
      <c r="C57" s="399" t="s">
        <v>106</v>
      </c>
      <c r="D57" s="385" t="s">
        <v>318</v>
      </c>
      <c r="E57" s="385" t="s">
        <v>304</v>
      </c>
      <c r="F57" s="385"/>
      <c r="G57" s="388"/>
      <c r="H57" s="388"/>
      <c r="I57" s="385">
        <v>1</v>
      </c>
      <c r="J57" s="389"/>
      <c r="K57" s="389"/>
      <c r="L57" s="385">
        <v>5</v>
      </c>
      <c r="M57" s="393">
        <v>17697</v>
      </c>
      <c r="N57" s="393">
        <v>1</v>
      </c>
      <c r="O57" s="393"/>
      <c r="P57" s="393">
        <v>2.92</v>
      </c>
      <c r="Q57" s="48">
        <f t="shared" si="26"/>
        <v>51675.24</v>
      </c>
      <c r="R57" s="419">
        <f>IF(H57&gt;0,25%,0)</f>
        <v>0</v>
      </c>
      <c r="S57" s="398">
        <f t="shared" si="68"/>
        <v>0</v>
      </c>
      <c r="T57" s="420">
        <f t="shared" si="69"/>
        <v>0.1</v>
      </c>
      <c r="U57" s="53">
        <f t="shared" si="34"/>
        <v>5167.5240000000003</v>
      </c>
      <c r="V57" s="397">
        <v>0.3</v>
      </c>
      <c r="W57" s="370">
        <f>M57*V57*N57</f>
        <v>5309.0999999999995</v>
      </c>
      <c r="X57" s="53">
        <f t="shared" si="3"/>
        <v>62151.863999999994</v>
      </c>
      <c r="Z57" s="403">
        <v>19077</v>
      </c>
      <c r="AA57" s="403">
        <f>48861.42/2</f>
        <v>24430.71</v>
      </c>
      <c r="AB57" s="403">
        <f>Z57-AA57</f>
        <v>-5353.7099999999991</v>
      </c>
      <c r="AC57" s="403"/>
      <c r="AD57" s="403">
        <f>24430.71*2</f>
        <v>48861.42</v>
      </c>
      <c r="AE57" s="403"/>
      <c r="AF57" s="403"/>
    </row>
    <row r="58" spans="1:32" ht="15" x14ac:dyDescent="0.25">
      <c r="A58" s="549">
        <v>39</v>
      </c>
      <c r="B58" s="552" t="s">
        <v>363</v>
      </c>
      <c r="C58" s="399" t="s">
        <v>109</v>
      </c>
      <c r="D58" s="385" t="s">
        <v>35</v>
      </c>
      <c r="E58" s="385" t="s">
        <v>41</v>
      </c>
      <c r="F58" s="385"/>
      <c r="G58" s="388"/>
      <c r="H58" s="388"/>
      <c r="I58" s="549">
        <v>1</v>
      </c>
      <c r="J58" s="389"/>
      <c r="K58" s="389"/>
      <c r="L58" s="385">
        <v>2</v>
      </c>
      <c r="M58" s="393">
        <v>17697</v>
      </c>
      <c r="N58" s="393">
        <v>0.5</v>
      </c>
      <c r="O58" s="393"/>
      <c r="P58" s="393">
        <v>2.81</v>
      </c>
      <c r="Q58" s="48">
        <f t="shared" si="26"/>
        <v>24864.285</v>
      </c>
      <c r="R58" s="419">
        <f t="shared" ref="R58:R69" si="70">IF(H58&gt;0,25%,0)</f>
        <v>0</v>
      </c>
      <c r="S58" s="398">
        <f t="shared" si="68"/>
        <v>0</v>
      </c>
      <c r="T58" s="420">
        <f t="shared" si="69"/>
        <v>0.1</v>
      </c>
      <c r="U58" s="53">
        <f t="shared" si="34"/>
        <v>2486.4285</v>
      </c>
      <c r="V58" s="397"/>
      <c r="W58" s="370"/>
      <c r="X58" s="53">
        <f t="shared" si="3"/>
        <v>27350.713499999998</v>
      </c>
      <c r="Y58" s="354"/>
      <c r="Z58" s="403"/>
      <c r="AA58" s="403">
        <v>35916.06</v>
      </c>
      <c r="AB58" s="403"/>
      <c r="AC58" s="403"/>
      <c r="AD58" s="403"/>
      <c r="AE58" s="403"/>
      <c r="AF58" s="403"/>
    </row>
    <row r="59" spans="1:32" s="413" customFormat="1" ht="30" x14ac:dyDescent="0.25">
      <c r="A59" s="550"/>
      <c r="B59" s="552"/>
      <c r="C59" s="399" t="s">
        <v>114</v>
      </c>
      <c r="D59" s="385" t="s">
        <v>35</v>
      </c>
      <c r="E59" s="385" t="s">
        <v>41</v>
      </c>
      <c r="F59" s="385"/>
      <c r="G59" s="388"/>
      <c r="H59" s="388"/>
      <c r="I59" s="550"/>
      <c r="J59" s="389"/>
      <c r="K59" s="389"/>
      <c r="L59" s="385">
        <v>2</v>
      </c>
      <c r="M59" s="393">
        <v>17697</v>
      </c>
      <c r="N59" s="393">
        <v>0.5</v>
      </c>
      <c r="O59" s="393"/>
      <c r="P59" s="393">
        <v>2.81</v>
      </c>
      <c r="Q59" s="48">
        <f t="shared" si="26"/>
        <v>24864.285</v>
      </c>
      <c r="R59" s="419">
        <f t="shared" ref="R59" si="71">IF(H59&gt;0,25%,0)</f>
        <v>0</v>
      </c>
      <c r="S59" s="398">
        <f t="shared" ref="S59" si="72">ROUND((Q59+U59)*R59,2)</f>
        <v>0</v>
      </c>
      <c r="T59" s="420">
        <v>0.1</v>
      </c>
      <c r="U59" s="53">
        <f t="shared" si="34"/>
        <v>2486.4285</v>
      </c>
      <c r="V59" s="397"/>
      <c r="W59" s="370"/>
      <c r="X59" s="53">
        <f t="shared" si="3"/>
        <v>27350.713499999998</v>
      </c>
    </row>
    <row r="60" spans="1:32" ht="30" x14ac:dyDescent="0.25">
      <c r="A60" s="385">
        <v>40</v>
      </c>
      <c r="B60" s="434" t="s">
        <v>364</v>
      </c>
      <c r="C60" s="399" t="s">
        <v>113</v>
      </c>
      <c r="D60" s="385" t="s">
        <v>35</v>
      </c>
      <c r="E60" s="385" t="s">
        <v>424</v>
      </c>
      <c r="F60" s="385"/>
      <c r="G60" s="385"/>
      <c r="H60" s="385"/>
      <c r="I60" s="385">
        <v>1</v>
      </c>
      <c r="J60" s="389"/>
      <c r="K60" s="389"/>
      <c r="L60" s="385">
        <v>2</v>
      </c>
      <c r="M60" s="393">
        <v>17697</v>
      </c>
      <c r="N60" s="393">
        <v>1</v>
      </c>
      <c r="O60" s="393"/>
      <c r="P60" s="393">
        <v>2.81</v>
      </c>
      <c r="Q60" s="48">
        <f t="shared" si="26"/>
        <v>49728.57</v>
      </c>
      <c r="R60" s="419">
        <f t="shared" si="70"/>
        <v>0</v>
      </c>
      <c r="S60" s="398">
        <f t="shared" si="68"/>
        <v>0</v>
      </c>
      <c r="T60" s="420">
        <f t="shared" si="69"/>
        <v>0.1</v>
      </c>
      <c r="U60" s="53">
        <f t="shared" si="34"/>
        <v>4972.857</v>
      </c>
      <c r="V60" s="397">
        <v>0.3</v>
      </c>
      <c r="W60" s="370">
        <f>M60*V60*N60</f>
        <v>5309.0999999999995</v>
      </c>
      <c r="X60" s="53">
        <f t="shared" si="3"/>
        <v>60010.526999999995</v>
      </c>
      <c r="Z60" s="3"/>
      <c r="AA60" s="403"/>
      <c r="AB60" s="403"/>
      <c r="AC60" s="403"/>
      <c r="AD60" s="403"/>
      <c r="AE60" s="403"/>
      <c r="AF60" s="403"/>
    </row>
    <row r="61" spans="1:32" ht="30" x14ac:dyDescent="0.25">
      <c r="A61" s="385">
        <v>41</v>
      </c>
      <c r="B61" s="434" t="s">
        <v>365</v>
      </c>
      <c r="C61" s="399" t="s">
        <v>112</v>
      </c>
      <c r="D61" s="385" t="s">
        <v>352</v>
      </c>
      <c r="E61" s="385" t="s">
        <v>375</v>
      </c>
      <c r="F61" s="385"/>
      <c r="G61" s="385"/>
      <c r="H61" s="385"/>
      <c r="I61" s="385">
        <v>1</v>
      </c>
      <c r="J61" s="389"/>
      <c r="K61" s="389"/>
      <c r="L61" s="385">
        <v>2</v>
      </c>
      <c r="M61" s="393">
        <v>17697</v>
      </c>
      <c r="N61" s="393">
        <v>1</v>
      </c>
      <c r="O61" s="393"/>
      <c r="P61" s="385">
        <v>2.81</v>
      </c>
      <c r="Q61" s="48">
        <f t="shared" si="26"/>
        <v>49728.57</v>
      </c>
      <c r="R61" s="419">
        <f t="shared" si="70"/>
        <v>0</v>
      </c>
      <c r="S61" s="398">
        <f t="shared" si="68"/>
        <v>0</v>
      </c>
      <c r="T61" s="420">
        <f t="shared" si="69"/>
        <v>0.1</v>
      </c>
      <c r="U61" s="53">
        <f t="shared" si="34"/>
        <v>4972.857</v>
      </c>
      <c r="V61" s="397">
        <v>0.3</v>
      </c>
      <c r="W61" s="370">
        <f>M61*V61*N61</f>
        <v>5309.0999999999995</v>
      </c>
      <c r="X61" s="53">
        <f t="shared" si="3"/>
        <v>60010.526999999995</v>
      </c>
      <c r="Z61" s="3"/>
      <c r="AA61" s="403"/>
      <c r="AB61" s="403"/>
      <c r="AC61" s="403"/>
      <c r="AD61" s="403"/>
      <c r="AE61" s="403"/>
      <c r="AF61" s="403"/>
    </row>
    <row r="62" spans="1:32" ht="15" x14ac:dyDescent="0.25">
      <c r="A62" s="549">
        <v>42</v>
      </c>
      <c r="B62" s="552" t="s">
        <v>308</v>
      </c>
      <c r="C62" s="399" t="s">
        <v>366</v>
      </c>
      <c r="D62" s="385" t="s">
        <v>28</v>
      </c>
      <c r="E62" s="385" t="s">
        <v>41</v>
      </c>
      <c r="F62" s="385"/>
      <c r="G62" s="385"/>
      <c r="H62" s="385"/>
      <c r="I62" s="549">
        <v>1</v>
      </c>
      <c r="J62" s="389"/>
      <c r="K62" s="389"/>
      <c r="L62" s="385">
        <v>2</v>
      </c>
      <c r="M62" s="393">
        <v>17697</v>
      </c>
      <c r="N62" s="393">
        <v>0.5</v>
      </c>
      <c r="O62" s="393"/>
      <c r="P62" s="385">
        <v>2.89</v>
      </c>
      <c r="Q62" s="48">
        <f t="shared" si="26"/>
        <v>25572.165000000001</v>
      </c>
      <c r="R62" s="419">
        <f t="shared" si="70"/>
        <v>0</v>
      </c>
      <c r="S62" s="398">
        <f t="shared" si="68"/>
        <v>0</v>
      </c>
      <c r="T62" s="420">
        <f t="shared" si="69"/>
        <v>0.1</v>
      </c>
      <c r="U62" s="53">
        <f t="shared" si="34"/>
        <v>2557.2165000000005</v>
      </c>
      <c r="V62" s="397"/>
      <c r="W62" s="398"/>
      <c r="X62" s="53">
        <f t="shared" si="3"/>
        <v>28129.381500000003</v>
      </c>
      <c r="Z62" s="3"/>
      <c r="AA62" s="403"/>
      <c r="AB62" s="403"/>
      <c r="AC62" s="403"/>
      <c r="AD62" s="403"/>
      <c r="AE62" s="403"/>
      <c r="AF62" s="403"/>
    </row>
    <row r="63" spans="1:32" ht="30" x14ac:dyDescent="0.25">
      <c r="A63" s="550"/>
      <c r="B63" s="552"/>
      <c r="C63" s="399" t="s">
        <v>114</v>
      </c>
      <c r="D63" s="385" t="s">
        <v>35</v>
      </c>
      <c r="E63" s="385" t="s">
        <v>41</v>
      </c>
      <c r="F63" s="385"/>
      <c r="G63" s="385"/>
      <c r="H63" s="385"/>
      <c r="I63" s="550"/>
      <c r="J63" s="389"/>
      <c r="K63" s="389"/>
      <c r="L63" s="385">
        <v>2</v>
      </c>
      <c r="M63" s="393">
        <v>17697</v>
      </c>
      <c r="N63" s="393">
        <v>0.5</v>
      </c>
      <c r="O63" s="393"/>
      <c r="P63" s="385">
        <v>2.81</v>
      </c>
      <c r="Q63" s="48">
        <f t="shared" si="26"/>
        <v>24864.285</v>
      </c>
      <c r="R63" s="419">
        <f t="shared" si="70"/>
        <v>0</v>
      </c>
      <c r="S63" s="398">
        <f t="shared" si="68"/>
        <v>0</v>
      </c>
      <c r="T63" s="420">
        <v>0.1</v>
      </c>
      <c r="U63" s="53">
        <f t="shared" si="34"/>
        <v>2486.4285</v>
      </c>
      <c r="V63" s="397"/>
      <c r="W63" s="398"/>
      <c r="X63" s="53">
        <f t="shared" si="3"/>
        <v>27350.713499999998</v>
      </c>
      <c r="Z63" s="3"/>
      <c r="AA63" s="403"/>
      <c r="AB63" s="403"/>
      <c r="AC63" s="403"/>
      <c r="AD63" s="403"/>
      <c r="AE63" s="403"/>
      <c r="AF63" s="403"/>
    </row>
    <row r="64" spans="1:32" ht="15" x14ac:dyDescent="0.25">
      <c r="A64" s="385">
        <v>43</v>
      </c>
      <c r="B64" s="434" t="s">
        <v>428</v>
      </c>
      <c r="C64" s="399" t="s">
        <v>115</v>
      </c>
      <c r="D64" s="385" t="s">
        <v>35</v>
      </c>
      <c r="E64" s="385" t="s">
        <v>373</v>
      </c>
      <c r="F64" s="385"/>
      <c r="G64" s="385"/>
      <c r="H64" s="385"/>
      <c r="I64" s="385">
        <v>1</v>
      </c>
      <c r="J64" s="389"/>
      <c r="K64" s="389"/>
      <c r="L64" s="385">
        <v>2</v>
      </c>
      <c r="M64" s="393">
        <v>17697</v>
      </c>
      <c r="N64" s="393">
        <v>0.5</v>
      </c>
      <c r="O64" s="393"/>
      <c r="P64" s="385">
        <v>2.89</v>
      </c>
      <c r="Q64" s="48">
        <f t="shared" si="26"/>
        <v>25572.165000000001</v>
      </c>
      <c r="R64" s="419">
        <f t="shared" si="70"/>
        <v>0</v>
      </c>
      <c r="S64" s="398">
        <f t="shared" si="68"/>
        <v>0</v>
      </c>
      <c r="T64" s="420">
        <f t="shared" si="69"/>
        <v>0.1</v>
      </c>
      <c r="U64" s="53">
        <f t="shared" si="34"/>
        <v>2557.2165000000005</v>
      </c>
      <c r="V64" s="397"/>
      <c r="W64" s="398"/>
      <c r="X64" s="53">
        <f t="shared" si="3"/>
        <v>28129.381500000003</v>
      </c>
      <c r="Y64" s="354"/>
      <c r="Z64" s="3"/>
      <c r="AA64" s="403"/>
      <c r="AB64" s="403"/>
      <c r="AC64" s="403"/>
      <c r="AD64" s="403"/>
      <c r="AE64" s="403"/>
      <c r="AF64" s="403"/>
    </row>
    <row r="65" spans="1:32" ht="15" x14ac:dyDescent="0.25">
      <c r="A65" s="385">
        <v>44</v>
      </c>
      <c r="B65" s="434" t="s">
        <v>108</v>
      </c>
      <c r="C65" s="399" t="s">
        <v>115</v>
      </c>
      <c r="D65" s="385" t="s">
        <v>35</v>
      </c>
      <c r="E65" s="385" t="s">
        <v>41</v>
      </c>
      <c r="F65" s="385"/>
      <c r="G65" s="385"/>
      <c r="H65" s="385"/>
      <c r="I65" s="385">
        <v>1</v>
      </c>
      <c r="J65" s="389"/>
      <c r="K65" s="389"/>
      <c r="L65" s="385">
        <v>2</v>
      </c>
      <c r="M65" s="393">
        <v>17697</v>
      </c>
      <c r="N65" s="393">
        <v>0.5</v>
      </c>
      <c r="O65" s="393"/>
      <c r="P65" s="385">
        <v>2.89</v>
      </c>
      <c r="Q65" s="48">
        <f t="shared" si="26"/>
        <v>25572.165000000001</v>
      </c>
      <c r="R65" s="419">
        <f t="shared" si="70"/>
        <v>0</v>
      </c>
      <c r="S65" s="398">
        <f t="shared" si="68"/>
        <v>0</v>
      </c>
      <c r="T65" s="420">
        <f t="shared" si="69"/>
        <v>0.1</v>
      </c>
      <c r="U65" s="53">
        <f t="shared" si="34"/>
        <v>2557.2165000000005</v>
      </c>
      <c r="V65" s="397"/>
      <c r="W65" s="398"/>
      <c r="X65" s="53">
        <f t="shared" si="3"/>
        <v>28129.381500000003</v>
      </c>
      <c r="Z65" s="3"/>
      <c r="AA65" s="403"/>
      <c r="AB65" s="403"/>
      <c r="AC65" s="403"/>
      <c r="AD65" s="403"/>
      <c r="AE65" s="403"/>
      <c r="AF65" s="403"/>
    </row>
    <row r="66" spans="1:32" ht="15" x14ac:dyDescent="0.25">
      <c r="A66" s="385">
        <v>45</v>
      </c>
      <c r="B66" s="434" t="s">
        <v>374</v>
      </c>
      <c r="C66" s="88" t="s">
        <v>119</v>
      </c>
      <c r="D66" s="385" t="s">
        <v>28</v>
      </c>
      <c r="E66" s="385" t="s">
        <v>310</v>
      </c>
      <c r="F66" s="385"/>
      <c r="G66" s="385"/>
      <c r="H66" s="385"/>
      <c r="I66" s="385">
        <v>1</v>
      </c>
      <c r="J66" s="389"/>
      <c r="K66" s="389"/>
      <c r="L66" s="385">
        <v>1</v>
      </c>
      <c r="M66" s="393">
        <v>17697</v>
      </c>
      <c r="N66" s="393">
        <v>1</v>
      </c>
      <c r="O66" s="393"/>
      <c r="P66" s="385">
        <v>2.77</v>
      </c>
      <c r="Q66" s="48">
        <f t="shared" si="26"/>
        <v>49020.69</v>
      </c>
      <c r="R66" s="419">
        <f t="shared" si="70"/>
        <v>0</v>
      </c>
      <c r="S66" s="398">
        <f t="shared" si="68"/>
        <v>0</v>
      </c>
      <c r="T66" s="420">
        <f t="shared" si="69"/>
        <v>0.1</v>
      </c>
      <c r="U66" s="53">
        <f t="shared" si="34"/>
        <v>4902.0690000000004</v>
      </c>
      <c r="V66" s="397">
        <v>0.7</v>
      </c>
      <c r="W66" s="398">
        <f>11654.67+3290.27</f>
        <v>14944.94</v>
      </c>
      <c r="X66" s="53">
        <f t="shared" si="3"/>
        <v>68867.699000000008</v>
      </c>
      <c r="Z66" s="22"/>
      <c r="AA66" s="403"/>
      <c r="AB66" s="403"/>
      <c r="AC66" s="403"/>
      <c r="AD66" s="403"/>
      <c r="AE66" s="403"/>
      <c r="AF66" s="403"/>
    </row>
    <row r="67" spans="1:32" ht="15" x14ac:dyDescent="0.25">
      <c r="A67" s="385">
        <v>46</v>
      </c>
      <c r="B67" s="434" t="str">
        <f>'[1]РАСЧЁТЫ по действующей сист16'!B118</f>
        <v>Медиев М.</v>
      </c>
      <c r="C67" s="88" t="s">
        <v>119</v>
      </c>
      <c r="D67" s="385" t="s">
        <v>118</v>
      </c>
      <c r="E67" s="385" t="s">
        <v>310</v>
      </c>
      <c r="F67" s="385"/>
      <c r="G67" s="385"/>
      <c r="H67" s="385"/>
      <c r="I67" s="385">
        <v>1</v>
      </c>
      <c r="J67" s="389"/>
      <c r="K67" s="389"/>
      <c r="L67" s="385">
        <v>1</v>
      </c>
      <c r="M67" s="393">
        <v>17697</v>
      </c>
      <c r="N67" s="393">
        <v>1</v>
      </c>
      <c r="O67" s="393"/>
      <c r="P67" s="385">
        <v>2.77</v>
      </c>
      <c r="Q67" s="48">
        <f t="shared" si="26"/>
        <v>49020.69</v>
      </c>
      <c r="R67" s="419">
        <f t="shared" si="70"/>
        <v>0</v>
      </c>
      <c r="S67" s="398">
        <f t="shared" si="68"/>
        <v>0</v>
      </c>
      <c r="T67" s="420">
        <f t="shared" si="69"/>
        <v>0.1</v>
      </c>
      <c r="U67" s="53">
        <f t="shared" si="34"/>
        <v>4902.0690000000004</v>
      </c>
      <c r="V67" s="397">
        <v>0.7</v>
      </c>
      <c r="W67" s="398">
        <f t="shared" ref="W67:W68" si="73">11654.67+3290.27</f>
        <v>14944.94</v>
      </c>
      <c r="X67" s="53">
        <f t="shared" si="3"/>
        <v>68867.699000000008</v>
      </c>
      <c r="Z67" s="403"/>
      <c r="AA67" s="403"/>
      <c r="AB67" s="403"/>
      <c r="AC67" s="403"/>
      <c r="AD67" s="403"/>
      <c r="AE67" s="403"/>
      <c r="AF67" s="403"/>
    </row>
    <row r="68" spans="1:32" ht="15" x14ac:dyDescent="0.25">
      <c r="A68" s="385">
        <v>47</v>
      </c>
      <c r="B68" s="434" t="s">
        <v>429</v>
      </c>
      <c r="C68" s="88" t="s">
        <v>119</v>
      </c>
      <c r="D68" s="385" t="s">
        <v>118</v>
      </c>
      <c r="E68" s="385" t="s">
        <v>310</v>
      </c>
      <c r="F68" s="385"/>
      <c r="G68" s="385"/>
      <c r="H68" s="385"/>
      <c r="I68" s="385">
        <v>1</v>
      </c>
      <c r="J68" s="389"/>
      <c r="K68" s="389"/>
      <c r="L68" s="385">
        <v>1</v>
      </c>
      <c r="M68" s="393">
        <v>17697</v>
      </c>
      <c r="N68" s="393">
        <v>1</v>
      </c>
      <c r="O68" s="393"/>
      <c r="P68" s="385">
        <v>2.77</v>
      </c>
      <c r="Q68" s="48">
        <f t="shared" si="26"/>
        <v>49020.69</v>
      </c>
      <c r="R68" s="419">
        <f t="shared" si="70"/>
        <v>0</v>
      </c>
      <c r="S68" s="398">
        <f t="shared" si="68"/>
        <v>0</v>
      </c>
      <c r="T68" s="420">
        <f t="shared" si="69"/>
        <v>0.1</v>
      </c>
      <c r="U68" s="53">
        <f t="shared" si="34"/>
        <v>4902.0690000000004</v>
      </c>
      <c r="V68" s="397">
        <v>0.7</v>
      </c>
      <c r="W68" s="398">
        <f t="shared" si="73"/>
        <v>14944.94</v>
      </c>
      <c r="X68" s="53">
        <f t="shared" si="3"/>
        <v>68867.699000000008</v>
      </c>
      <c r="Z68" s="403"/>
      <c r="AA68" s="403"/>
      <c r="AB68" s="403"/>
      <c r="AC68" s="403"/>
      <c r="AD68" s="403"/>
      <c r="AE68" s="403"/>
      <c r="AF68" s="403"/>
    </row>
    <row r="69" spans="1:32" ht="15" x14ac:dyDescent="0.25">
      <c r="A69" s="77">
        <v>48</v>
      </c>
      <c r="B69" s="435" t="str">
        <f>'[1]РАСЧЁТЫ по действующей сист16'!B120</f>
        <v>Сипатов А.М.</v>
      </c>
      <c r="C69" s="87" t="s">
        <v>120</v>
      </c>
      <c r="D69" s="77" t="s">
        <v>118</v>
      </c>
      <c r="E69" s="77" t="s">
        <v>358</v>
      </c>
      <c r="F69" s="77"/>
      <c r="G69" s="77"/>
      <c r="H69" s="77"/>
      <c r="I69" s="77">
        <v>1</v>
      </c>
      <c r="J69" s="84"/>
      <c r="K69" s="84"/>
      <c r="L69" s="77">
        <v>2</v>
      </c>
      <c r="M69" s="85">
        <v>17697</v>
      </c>
      <c r="N69" s="85">
        <v>1</v>
      </c>
      <c r="O69" s="85"/>
      <c r="P69" s="77">
        <v>2.81</v>
      </c>
      <c r="Q69" s="48">
        <f t="shared" si="26"/>
        <v>49728.57</v>
      </c>
      <c r="R69" s="421">
        <f t="shared" si="70"/>
        <v>0</v>
      </c>
      <c r="S69" s="18">
        <f t="shared" si="68"/>
        <v>0</v>
      </c>
      <c r="T69" s="422">
        <f t="shared" si="69"/>
        <v>0.1</v>
      </c>
      <c r="U69" s="53">
        <f t="shared" si="34"/>
        <v>4972.857</v>
      </c>
      <c r="V69" s="86"/>
      <c r="W69" s="18"/>
      <c r="X69" s="53">
        <f t="shared" si="3"/>
        <v>54701.426999999996</v>
      </c>
      <c r="AA69" s="403"/>
      <c r="AB69" s="403"/>
      <c r="AC69" s="403"/>
      <c r="AD69" s="403"/>
      <c r="AE69" s="403"/>
      <c r="AF69" s="403"/>
    </row>
    <row r="70" spans="1:32" ht="12.75" customHeight="1" x14ac:dyDescent="0.25">
      <c r="A70" s="551" t="s">
        <v>124</v>
      </c>
      <c r="B70" s="551"/>
      <c r="C70" s="551"/>
      <c r="D70" s="551"/>
      <c r="E70" s="423"/>
      <c r="F70" s="423"/>
      <c r="G70" s="423"/>
      <c r="H70" s="423"/>
      <c r="I70" s="423"/>
      <c r="J70" s="423"/>
      <c r="K70" s="423"/>
      <c r="L70" s="423"/>
      <c r="M70" s="423"/>
      <c r="N70" s="424">
        <f>SUM(N9:N69)</f>
        <v>55.58</v>
      </c>
      <c r="O70" s="424"/>
      <c r="P70" s="424"/>
      <c r="Q70" s="425">
        <f>SUM(Q9:Q69)</f>
        <v>3820687.6435399996</v>
      </c>
      <c r="R70" s="424"/>
      <c r="S70" s="424"/>
      <c r="T70" s="424"/>
      <c r="U70" s="425">
        <f>SUM(U9:U69)</f>
        <v>378135.59235399985</v>
      </c>
      <c r="V70" s="424"/>
      <c r="W70" s="425">
        <f>SUM(W9:W69)</f>
        <v>423236.13839999982</v>
      </c>
      <c r="X70" s="425">
        <f t="shared" si="3"/>
        <v>4622059.3742939988</v>
      </c>
      <c r="Z70" s="3"/>
      <c r="AA70" s="403"/>
      <c r="AB70" s="403"/>
      <c r="AC70" s="403"/>
      <c r="AD70" s="403"/>
      <c r="AE70" s="403"/>
      <c r="AF70" s="403"/>
    </row>
    <row r="71" spans="1:32" x14ac:dyDescent="0.25">
      <c r="A71" s="400"/>
      <c r="B71" s="400"/>
      <c r="C71" s="400"/>
      <c r="D71" s="400"/>
      <c r="E71" s="400"/>
      <c r="F71" s="438"/>
      <c r="G71" s="400"/>
      <c r="H71" s="400"/>
      <c r="I71" s="400"/>
      <c r="J71" s="400"/>
      <c r="K71" s="400"/>
      <c r="L71" s="400"/>
      <c r="M71" s="400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Z71" s="403"/>
      <c r="AA71" s="403"/>
      <c r="AB71" s="403"/>
      <c r="AC71" s="403"/>
      <c r="AD71" s="403"/>
      <c r="AE71" s="403"/>
      <c r="AF71" s="403"/>
    </row>
    <row r="72" spans="1:32" ht="15" x14ac:dyDescent="0.25">
      <c r="B72" s="403" t="s">
        <v>376</v>
      </c>
      <c r="C72" s="487"/>
      <c r="D72" s="487"/>
      <c r="E72" s="401"/>
      <c r="F72" s="438"/>
      <c r="G72" s="400"/>
      <c r="H72" s="400"/>
      <c r="I72" s="400"/>
      <c r="L72" s="487" t="s">
        <v>347</v>
      </c>
      <c r="M72" s="487"/>
      <c r="N72" s="488"/>
      <c r="O72" s="24"/>
      <c r="P72" s="25"/>
      <c r="Q72" s="2"/>
      <c r="R72" s="2"/>
      <c r="S72" s="2"/>
      <c r="T72" s="2"/>
      <c r="U72" s="3"/>
      <c r="W72" s="1"/>
      <c r="X72" s="3"/>
      <c r="Z72" s="403"/>
      <c r="AA72" s="403"/>
      <c r="AB72" s="403"/>
      <c r="AC72" s="403"/>
      <c r="AD72" s="403"/>
      <c r="AE72" s="403"/>
      <c r="AF72" s="403"/>
    </row>
    <row r="73" spans="1:32" ht="15" x14ac:dyDescent="0.25">
      <c r="C73" s="478" t="s">
        <v>128</v>
      </c>
      <c r="D73" s="478"/>
      <c r="E73" s="478"/>
      <c r="F73" s="438"/>
      <c r="G73" s="400"/>
      <c r="H73" s="400"/>
      <c r="I73" s="400"/>
      <c r="J73" s="402"/>
      <c r="K73" s="402"/>
      <c r="L73" s="479" t="s">
        <v>129</v>
      </c>
      <c r="M73" s="479"/>
      <c r="N73" s="480"/>
      <c r="P73" s="2"/>
      <c r="Q73" s="2"/>
      <c r="R73" s="2"/>
      <c r="S73" s="2"/>
      <c r="T73" s="2"/>
      <c r="U73" s="2"/>
      <c r="V73" s="2"/>
      <c r="W73" s="26"/>
      <c r="X73" s="3"/>
      <c r="Z73" s="22"/>
      <c r="AA73" s="22"/>
      <c r="AB73" s="22"/>
      <c r="AC73" s="22"/>
      <c r="AD73" s="403"/>
      <c r="AE73" s="403"/>
      <c r="AF73" s="403"/>
    </row>
    <row r="74" spans="1:32" x14ac:dyDescent="0.25">
      <c r="E74" s="402"/>
      <c r="F74" s="436"/>
      <c r="G74" s="402"/>
      <c r="H74" s="402"/>
      <c r="I74" s="402"/>
      <c r="J74" s="402"/>
      <c r="K74" s="402"/>
      <c r="L74" s="400"/>
      <c r="M74" s="400"/>
      <c r="P74" s="2"/>
      <c r="Q74" s="2"/>
      <c r="R74" s="2"/>
      <c r="S74" s="2"/>
      <c r="T74" s="2"/>
      <c r="U74" s="3"/>
      <c r="V74" s="3"/>
      <c r="X74" s="3"/>
      <c r="Z74" s="403"/>
      <c r="AB74" s="3"/>
      <c r="AD74" s="403"/>
      <c r="AE74" s="403"/>
      <c r="AF74" s="403"/>
    </row>
    <row r="75" spans="1:32" ht="15" x14ac:dyDescent="0.25">
      <c r="B75" s="403" t="s">
        <v>40</v>
      </c>
      <c r="C75" s="487"/>
      <c r="D75" s="487"/>
      <c r="E75" s="401"/>
      <c r="F75" s="438"/>
      <c r="G75" s="400"/>
      <c r="H75" s="400"/>
      <c r="I75" s="400"/>
      <c r="L75" s="487" t="s">
        <v>271</v>
      </c>
      <c r="M75" s="487"/>
      <c r="N75" s="488"/>
      <c r="X75" s="1"/>
      <c r="Z75" s="1"/>
      <c r="AA75" s="403"/>
      <c r="AB75" s="1"/>
      <c r="AC75" s="1"/>
      <c r="AD75" s="403"/>
      <c r="AE75" s="403"/>
      <c r="AF75" s="403"/>
    </row>
    <row r="76" spans="1:32" ht="15" x14ac:dyDescent="0.25">
      <c r="C76" s="478" t="s">
        <v>128</v>
      </c>
      <c r="D76" s="478"/>
      <c r="E76" s="478"/>
      <c r="F76" s="438"/>
      <c r="G76" s="400"/>
      <c r="H76" s="400"/>
      <c r="I76" s="400"/>
      <c r="L76" s="479" t="s">
        <v>129</v>
      </c>
      <c r="M76" s="479"/>
      <c r="N76" s="480"/>
      <c r="U76" s="26"/>
      <c r="Z76" s="1"/>
      <c r="AA76" s="1"/>
      <c r="AB76" s="1"/>
      <c r="AC76" s="1"/>
      <c r="AD76" s="403"/>
      <c r="AE76" s="403"/>
      <c r="AF76" s="403"/>
    </row>
    <row r="77" spans="1:32" x14ac:dyDescent="0.25">
      <c r="B77" s="27"/>
      <c r="Z77" s="3"/>
      <c r="AA77" s="3"/>
      <c r="AB77" s="3"/>
      <c r="AC77" s="3"/>
      <c r="AD77" s="403"/>
      <c r="AE77" s="403"/>
      <c r="AF77" s="403"/>
    </row>
    <row r="78" spans="1:32" x14ac:dyDescent="0.25">
      <c r="B78" s="28" t="s">
        <v>133</v>
      </c>
      <c r="X78" s="1"/>
      <c r="Z78" s="25"/>
      <c r="AD78" s="403"/>
      <c r="AE78" s="403"/>
      <c r="AF78" s="403"/>
    </row>
    <row r="79" spans="1:32" x14ac:dyDescent="0.25">
      <c r="N79" s="1"/>
      <c r="Q79" s="1"/>
      <c r="R79" s="1"/>
      <c r="S79" s="1"/>
      <c r="T79" s="1"/>
      <c r="U79" s="1"/>
      <c r="AB79" s="3"/>
      <c r="AD79" s="403"/>
      <c r="AE79" s="403"/>
      <c r="AF79" s="403"/>
    </row>
    <row r="80" spans="1:32" x14ac:dyDescent="0.25">
      <c r="AD80" s="403"/>
      <c r="AE80" s="403"/>
      <c r="AF80" s="403"/>
    </row>
    <row r="81" spans="30:32" x14ac:dyDescent="0.25">
      <c r="AD81" s="403"/>
      <c r="AE81" s="403"/>
      <c r="AF81" s="403"/>
    </row>
    <row r="82" spans="30:32" x14ac:dyDescent="0.25">
      <c r="AD82" s="403"/>
      <c r="AE82" s="403"/>
      <c r="AF82" s="403"/>
    </row>
    <row r="83" spans="30:32" x14ac:dyDescent="0.25">
      <c r="AD83" s="403"/>
      <c r="AE83" s="403"/>
      <c r="AF83" s="403"/>
    </row>
    <row r="84" spans="30:32" x14ac:dyDescent="0.25">
      <c r="AD84" s="403"/>
      <c r="AE84" s="403"/>
      <c r="AF84" s="403"/>
    </row>
    <row r="85" spans="30:32" x14ac:dyDescent="0.25">
      <c r="AD85" s="403"/>
      <c r="AE85" s="403"/>
      <c r="AF85" s="403"/>
    </row>
    <row r="86" spans="30:32" x14ac:dyDescent="0.25">
      <c r="AD86" s="403"/>
      <c r="AE86" s="403"/>
      <c r="AF86" s="403"/>
    </row>
    <row r="87" spans="30:32" x14ac:dyDescent="0.25">
      <c r="AD87" s="403"/>
      <c r="AE87" s="403"/>
      <c r="AF87" s="403"/>
    </row>
    <row r="88" spans="30:32" x14ac:dyDescent="0.25">
      <c r="AD88" s="403"/>
      <c r="AE88" s="403"/>
      <c r="AF88" s="403"/>
    </row>
    <row r="89" spans="30:32" x14ac:dyDescent="0.25">
      <c r="AD89" s="403"/>
      <c r="AE89" s="403"/>
      <c r="AF89" s="403"/>
    </row>
    <row r="90" spans="30:32" x14ac:dyDescent="0.25">
      <c r="AD90" s="403"/>
      <c r="AE90" s="403"/>
      <c r="AF90" s="403"/>
    </row>
    <row r="91" spans="30:32" x14ac:dyDescent="0.25">
      <c r="AD91" s="403"/>
      <c r="AE91" s="403"/>
      <c r="AF91" s="403"/>
    </row>
    <row r="92" spans="30:32" x14ac:dyDescent="0.25">
      <c r="AD92" s="403"/>
      <c r="AE92" s="403"/>
      <c r="AF92" s="403"/>
    </row>
    <row r="93" spans="30:32" x14ac:dyDescent="0.25">
      <c r="AD93" s="403"/>
      <c r="AE93" s="403"/>
      <c r="AF93" s="403"/>
    </row>
    <row r="94" spans="30:32" x14ac:dyDescent="0.25">
      <c r="AD94" s="403"/>
      <c r="AE94" s="403"/>
      <c r="AF94" s="403"/>
    </row>
    <row r="95" spans="30:32" x14ac:dyDescent="0.25">
      <c r="AD95" s="403"/>
      <c r="AE95" s="403"/>
      <c r="AF95" s="403"/>
    </row>
    <row r="96" spans="30:32" x14ac:dyDescent="0.25">
      <c r="AD96" s="403"/>
      <c r="AE96" s="403"/>
      <c r="AF96" s="403"/>
    </row>
    <row r="97" spans="30:32" x14ac:dyDescent="0.25">
      <c r="AD97" s="403"/>
      <c r="AE97" s="403"/>
      <c r="AF97" s="403"/>
    </row>
  </sheetData>
  <mergeCells count="50">
    <mergeCell ref="I46:I47"/>
    <mergeCell ref="I58:I59"/>
    <mergeCell ref="A10:A11"/>
    <mergeCell ref="B10:B11"/>
    <mergeCell ref="F7:F8"/>
    <mergeCell ref="C72:D72"/>
    <mergeCell ref="L72:N72"/>
    <mergeCell ref="B13:B14"/>
    <mergeCell ref="B15:B16"/>
    <mergeCell ref="I62:I63"/>
    <mergeCell ref="A70:D70"/>
    <mergeCell ref="B62:B63"/>
    <mergeCell ref="B46:B47"/>
    <mergeCell ref="B58:B59"/>
    <mergeCell ref="A13:A14"/>
    <mergeCell ref="A15:A16"/>
    <mergeCell ref="A46:A47"/>
    <mergeCell ref="A58:A59"/>
    <mergeCell ref="A62:A63"/>
    <mergeCell ref="I13:I14"/>
    <mergeCell ref="I15:I16"/>
    <mergeCell ref="C76:E76"/>
    <mergeCell ref="L76:N76"/>
    <mergeCell ref="C73:E73"/>
    <mergeCell ref="L73:N73"/>
    <mergeCell ref="C75:D75"/>
    <mergeCell ref="L75:N75"/>
    <mergeCell ref="A2:X2"/>
    <mergeCell ref="A3:X3"/>
    <mergeCell ref="T5:U5"/>
    <mergeCell ref="A7:A8"/>
    <mergeCell ref="B7:B8"/>
    <mergeCell ref="C7:C8"/>
    <mergeCell ref="D7:D8"/>
    <mergeCell ref="E7:E8"/>
    <mergeCell ref="G7:G8"/>
    <mergeCell ref="H7:H8"/>
    <mergeCell ref="X7:X8"/>
    <mergeCell ref="R7:S7"/>
    <mergeCell ref="O7:O8"/>
    <mergeCell ref="P7:P8"/>
    <mergeCell ref="Q7:Q8"/>
    <mergeCell ref="T7:U7"/>
    <mergeCell ref="V7:W7"/>
    <mergeCell ref="M7:M8"/>
    <mergeCell ref="N7:N8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paperSize="9" scale="31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O95"/>
  <sheetViews>
    <sheetView tabSelected="1" topLeftCell="A44" workbookViewId="0">
      <selection activeCell="C56" sqref="C56"/>
    </sheetView>
  </sheetViews>
  <sheetFormatPr defaultRowHeight="12.75" x14ac:dyDescent="0.25"/>
  <cols>
    <col min="1" max="1" width="3.7109375" style="437" customWidth="1"/>
    <col min="2" max="2" width="19.85546875" style="437" customWidth="1"/>
    <col min="3" max="3" width="21.140625" style="436" customWidth="1"/>
    <col min="4" max="4" width="11.140625" style="437" customWidth="1"/>
    <col min="5" max="5" width="12.28515625" style="437" customWidth="1"/>
    <col min="6" max="6" width="7" style="437" customWidth="1"/>
    <col min="7" max="7" width="9" style="437" customWidth="1"/>
    <col min="8" max="8" width="0.140625" style="437" hidden="1" customWidth="1"/>
    <col min="9" max="9" width="7" style="437" customWidth="1"/>
    <col min="10" max="10" width="6" style="437" customWidth="1"/>
    <col min="11" max="11" width="6.85546875" style="437" customWidth="1"/>
    <col min="12" max="12" width="6.42578125" style="437" customWidth="1"/>
    <col min="13" max="13" width="10.7109375" style="437" customWidth="1"/>
    <col min="14" max="14" width="9.140625" style="437" customWidth="1"/>
    <col min="15" max="15" width="6.28515625" style="436" customWidth="1"/>
    <col min="16" max="16" width="6.7109375" style="437" customWidth="1"/>
    <col min="17" max="17" width="13.28515625" style="437" customWidth="1"/>
    <col min="18" max="18" width="0.140625" style="437" hidden="1" customWidth="1"/>
    <col min="19" max="19" width="0.5703125" style="437" hidden="1" customWidth="1"/>
    <col min="20" max="20" width="8.5703125" style="452" customWidth="1"/>
    <col min="21" max="21" width="12.140625" style="452" customWidth="1"/>
    <col min="22" max="22" width="7.5703125" style="437" customWidth="1"/>
    <col min="23" max="23" width="12.140625" style="437" customWidth="1"/>
    <col min="24" max="24" width="7.140625" style="437" customWidth="1"/>
    <col min="25" max="25" width="11.7109375" style="437" customWidth="1"/>
    <col min="26" max="26" width="6.140625" style="463" customWidth="1"/>
    <col min="27" max="27" width="8.5703125" style="463" customWidth="1"/>
    <col min="28" max="28" width="13" style="437" customWidth="1"/>
    <col min="29" max="29" width="12.42578125" style="437" customWidth="1"/>
    <col min="30" max="30" width="41.85546875" style="2" customWidth="1"/>
    <col min="31" max="31" width="9.28515625" style="2" bestFit="1" customWidth="1"/>
    <col min="32" max="32" width="14" style="2" customWidth="1"/>
    <col min="33" max="33" width="9.140625" style="2"/>
    <col min="34" max="34" width="41.42578125" style="2" customWidth="1"/>
    <col min="35" max="35" width="9.28515625" style="2" bestFit="1" customWidth="1"/>
    <col min="36" max="36" width="13.7109375" style="2" customWidth="1"/>
    <col min="37" max="37" width="9.140625" style="437"/>
    <col min="38" max="38" width="11.7109375" style="437" bestFit="1" customWidth="1"/>
    <col min="39" max="39" width="9.140625" style="437"/>
    <col min="40" max="45" width="9.140625" style="437" customWidth="1"/>
    <col min="46" max="46" width="11.28515625" style="437" bestFit="1" customWidth="1"/>
    <col min="47" max="16384" width="9.140625" style="437"/>
  </cols>
  <sheetData>
    <row r="1" spans="1:41" x14ac:dyDescent="0.25">
      <c r="X1" s="1"/>
    </row>
    <row r="2" spans="1:41" x14ac:dyDescent="0.25">
      <c r="A2" s="467" t="s">
        <v>464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</row>
    <row r="3" spans="1:41" ht="12.75" customHeight="1" x14ac:dyDescent="0.25">
      <c r="A3" s="468" t="s">
        <v>510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D3" s="437"/>
      <c r="AE3" s="437"/>
      <c r="AF3" s="437"/>
      <c r="AG3" s="437"/>
      <c r="AH3" s="437"/>
      <c r="AI3" s="437"/>
      <c r="AJ3" s="437"/>
    </row>
    <row r="4" spans="1:41" x14ac:dyDescent="0.25">
      <c r="O4" s="437"/>
    </row>
    <row r="5" spans="1:41" x14ac:dyDescent="0.25">
      <c r="O5" s="437"/>
      <c r="V5" s="469"/>
      <c r="W5" s="469"/>
      <c r="AD5" s="436"/>
      <c r="AE5" s="436"/>
      <c r="AF5" s="436"/>
      <c r="AG5" s="436"/>
      <c r="AH5" s="437"/>
      <c r="AI5" s="437"/>
      <c r="AJ5" s="437"/>
    </row>
    <row r="6" spans="1:41" ht="7.5" customHeight="1" x14ac:dyDescent="0.25">
      <c r="O6" s="437"/>
      <c r="AE6" s="436"/>
      <c r="AF6" s="436"/>
      <c r="AG6" s="436"/>
      <c r="AH6" s="437"/>
      <c r="AI6" s="437"/>
      <c r="AJ6" s="437"/>
    </row>
    <row r="7" spans="1:41" s="436" customFormat="1" ht="12.75" customHeight="1" x14ac:dyDescent="0.25">
      <c r="A7" s="489" t="s">
        <v>5</v>
      </c>
      <c r="B7" s="489" t="s">
        <v>6</v>
      </c>
      <c r="C7" s="489" t="s">
        <v>7</v>
      </c>
      <c r="D7" s="489" t="s">
        <v>8</v>
      </c>
      <c r="E7" s="489" t="s">
        <v>452</v>
      </c>
      <c r="F7" s="470" t="s">
        <v>450</v>
      </c>
      <c r="G7" s="489" t="s">
        <v>449</v>
      </c>
      <c r="H7" s="489" t="s">
        <v>11</v>
      </c>
      <c r="I7" s="489" t="s">
        <v>12</v>
      </c>
      <c r="J7" s="546" t="s">
        <v>13</v>
      </c>
      <c r="K7" s="546" t="s">
        <v>14</v>
      </c>
      <c r="L7" s="546" t="s">
        <v>15</v>
      </c>
      <c r="M7" s="489" t="s">
        <v>16</v>
      </c>
      <c r="N7" s="489" t="s">
        <v>17</v>
      </c>
      <c r="O7" s="489" t="s">
        <v>10</v>
      </c>
      <c r="P7" s="489" t="s">
        <v>18</v>
      </c>
      <c r="Q7" s="489" t="s">
        <v>19</v>
      </c>
      <c r="R7" s="489" t="s">
        <v>20</v>
      </c>
      <c r="S7" s="489"/>
      <c r="T7" s="470" t="s">
        <v>508</v>
      </c>
      <c r="U7" s="489" t="s">
        <v>509</v>
      </c>
      <c r="V7" s="489" t="s">
        <v>21</v>
      </c>
      <c r="W7" s="489"/>
      <c r="X7" s="489" t="s">
        <v>22</v>
      </c>
      <c r="Y7" s="489"/>
      <c r="Z7" s="564" t="s">
        <v>22</v>
      </c>
      <c r="AA7" s="565"/>
      <c r="AB7" s="470" t="s">
        <v>23</v>
      </c>
      <c r="AD7" s="3"/>
      <c r="AE7" s="437"/>
      <c r="AF7" s="437"/>
      <c r="AG7" s="437"/>
    </row>
    <row r="8" spans="1:41" s="436" customFormat="1" ht="23.25" customHeight="1" x14ac:dyDescent="0.25">
      <c r="A8" s="489"/>
      <c r="B8" s="489"/>
      <c r="C8" s="489"/>
      <c r="D8" s="489"/>
      <c r="E8" s="489"/>
      <c r="F8" s="471"/>
      <c r="G8" s="489"/>
      <c r="H8" s="489"/>
      <c r="I8" s="489"/>
      <c r="J8" s="546"/>
      <c r="K8" s="546"/>
      <c r="L8" s="546"/>
      <c r="M8" s="489"/>
      <c r="N8" s="489"/>
      <c r="O8" s="489"/>
      <c r="P8" s="489"/>
      <c r="Q8" s="489"/>
      <c r="R8" s="440" t="s">
        <v>24</v>
      </c>
      <c r="S8" s="440" t="s">
        <v>25</v>
      </c>
      <c r="T8" s="471"/>
      <c r="U8" s="489"/>
      <c r="V8" s="440" t="s">
        <v>24</v>
      </c>
      <c r="W8" s="440" t="s">
        <v>25</v>
      </c>
      <c r="X8" s="440" t="s">
        <v>24</v>
      </c>
      <c r="Y8" s="440" t="s">
        <v>25</v>
      </c>
      <c r="Z8" s="462" t="s">
        <v>24</v>
      </c>
      <c r="AA8" s="462" t="s">
        <v>25</v>
      </c>
      <c r="AB8" s="471"/>
      <c r="AD8" s="2"/>
      <c r="AE8" s="437"/>
      <c r="AF8" s="437"/>
      <c r="AG8" s="437"/>
    </row>
    <row r="9" spans="1:41" s="457" customFormat="1" ht="23.25" customHeight="1" x14ac:dyDescent="0.25">
      <c r="A9" s="459"/>
      <c r="B9" s="432" t="s">
        <v>347</v>
      </c>
      <c r="C9" s="56" t="s">
        <v>376</v>
      </c>
      <c r="D9" s="4" t="s">
        <v>28</v>
      </c>
      <c r="E9" s="4" t="s">
        <v>470</v>
      </c>
      <c r="F9" s="4"/>
      <c r="G9" s="54"/>
      <c r="H9" s="54"/>
      <c r="I9" s="4">
        <v>1</v>
      </c>
      <c r="J9" s="4" t="s">
        <v>30</v>
      </c>
      <c r="K9" s="4" t="s">
        <v>31</v>
      </c>
      <c r="L9" s="456" t="s">
        <v>462</v>
      </c>
      <c r="M9" s="48">
        <v>17697</v>
      </c>
      <c r="N9" s="48">
        <v>1</v>
      </c>
      <c r="O9" s="48"/>
      <c r="P9" s="4">
        <v>5.91</v>
      </c>
      <c r="Q9" s="48">
        <f>M9*P9*N9</f>
        <v>104589.27</v>
      </c>
      <c r="R9" s="209">
        <f>IF(H9&gt;0,25%,0)</f>
        <v>0</v>
      </c>
      <c r="S9" s="53">
        <f>ROUND((Q9+W9)*R9,2)</f>
        <v>0</v>
      </c>
      <c r="T9" s="53">
        <v>1.5</v>
      </c>
      <c r="U9" s="370">
        <f>Q9*T9</f>
        <v>156883.905</v>
      </c>
      <c r="V9" s="210">
        <f>IF(I9&gt;0,10%,0)</f>
        <v>0.1</v>
      </c>
      <c r="W9" s="53">
        <f>U9*V9</f>
        <v>15688.390500000001</v>
      </c>
      <c r="X9" s="55">
        <v>0.3</v>
      </c>
      <c r="Y9" s="53">
        <f>M9*X9*N9</f>
        <v>5309.0999999999995</v>
      </c>
      <c r="Z9" s="53"/>
      <c r="AA9" s="53"/>
      <c r="AB9" s="53">
        <f>U9+W9+Y9</f>
        <v>177881.39550000001</v>
      </c>
      <c r="AD9" s="2"/>
      <c r="AE9" s="458"/>
      <c r="AF9" s="458"/>
      <c r="AG9" s="458"/>
    </row>
    <row r="10" spans="1:41" s="6" customFormat="1" ht="24" customHeight="1" x14ac:dyDescent="0.25">
      <c r="A10" s="4">
        <v>1</v>
      </c>
      <c r="B10" s="432" t="s">
        <v>453</v>
      </c>
      <c r="C10" s="56" t="s">
        <v>40</v>
      </c>
      <c r="D10" s="4" t="s">
        <v>28</v>
      </c>
      <c r="E10" s="4" t="s">
        <v>469</v>
      </c>
      <c r="F10" s="4"/>
      <c r="G10" s="4"/>
      <c r="H10" s="4"/>
      <c r="I10" s="4">
        <v>1</v>
      </c>
      <c r="J10" s="12"/>
      <c r="K10" s="12" t="s">
        <v>37</v>
      </c>
      <c r="L10" s="5">
        <v>2</v>
      </c>
      <c r="M10" s="48">
        <v>17697</v>
      </c>
      <c r="N10" s="48">
        <v>1</v>
      </c>
      <c r="O10" s="48"/>
      <c r="P10" s="358">
        <v>4.71</v>
      </c>
      <c r="Q10" s="48">
        <f>M10*P10*N10</f>
        <v>83352.87</v>
      </c>
      <c r="R10" s="209">
        <f>IF(H10&gt;0,25%,0)</f>
        <v>0</v>
      </c>
      <c r="S10" s="53">
        <f>ROUND((Q10+W10)*R10,2)</f>
        <v>0</v>
      </c>
      <c r="T10" s="53"/>
      <c r="U10" s="370">
        <f t="shared" ref="U10:U67" si="0">Q10*T10</f>
        <v>0</v>
      </c>
      <c r="V10" s="210">
        <f>IF(I10&gt;0,10%,0)</f>
        <v>0.1</v>
      </c>
      <c r="W10" s="53">
        <f>Q10*V10</f>
        <v>8335.2870000000003</v>
      </c>
      <c r="X10" s="55"/>
      <c r="Y10" s="53">
        <f>M10*X10*N10</f>
        <v>0</v>
      </c>
      <c r="Z10" s="53"/>
      <c r="AA10" s="53"/>
      <c r="AB10" s="53">
        <f>Q10+W10</f>
        <v>91688.156999999992</v>
      </c>
      <c r="AD10" s="9"/>
      <c r="AN10" s="10"/>
      <c r="AO10" s="11"/>
    </row>
    <row r="11" spans="1:41" s="6" customFormat="1" ht="22.5" customHeight="1" x14ac:dyDescent="0.25">
      <c r="A11" s="555">
        <v>2</v>
      </c>
      <c r="B11" s="547" t="s">
        <v>456</v>
      </c>
      <c r="C11" s="56" t="s">
        <v>379</v>
      </c>
      <c r="D11" s="4" t="s">
        <v>118</v>
      </c>
      <c r="E11" s="428" t="s">
        <v>465</v>
      </c>
      <c r="F11" s="428"/>
      <c r="G11" s="4"/>
      <c r="H11" s="4"/>
      <c r="I11" s="555">
        <v>1</v>
      </c>
      <c r="J11" s="4"/>
      <c r="K11" s="4" t="s">
        <v>37</v>
      </c>
      <c r="L11" s="5">
        <v>3</v>
      </c>
      <c r="M11" s="48">
        <v>17697</v>
      </c>
      <c r="N11" s="48">
        <v>1</v>
      </c>
      <c r="O11" s="48"/>
      <c r="P11" s="358">
        <v>3.65</v>
      </c>
      <c r="Q11" s="48">
        <f>M11*P11*N11</f>
        <v>64594.049999999996</v>
      </c>
      <c r="R11" s="209">
        <f>IF(H11&gt;0,25%,0)</f>
        <v>0</v>
      </c>
      <c r="S11" s="53">
        <f>ROUND((Q11+W11)*R11,2)</f>
        <v>0</v>
      </c>
      <c r="T11" s="53"/>
      <c r="U11" s="370">
        <f t="shared" si="0"/>
        <v>0</v>
      </c>
      <c r="V11" s="210">
        <f t="shared" ref="V11:V13" si="1">IF(I11&gt;0,10%,0)</f>
        <v>0.1</v>
      </c>
      <c r="W11" s="53">
        <f t="shared" ref="W11:W19" si="2">Q11*V11</f>
        <v>6459.4049999999997</v>
      </c>
      <c r="X11" s="55"/>
      <c r="Y11" s="53">
        <f>M11*X11*N11</f>
        <v>0</v>
      </c>
      <c r="Z11" s="53"/>
      <c r="AA11" s="53"/>
      <c r="AB11" s="53">
        <f t="shared" ref="AB11:AB15" si="3">Q11+W11</f>
        <v>71053.455000000002</v>
      </c>
      <c r="AD11" s="9"/>
    </row>
    <row r="12" spans="1:41" s="6" customFormat="1" ht="13.5" customHeight="1" x14ac:dyDescent="0.25">
      <c r="A12" s="556"/>
      <c r="B12" s="548"/>
      <c r="C12" s="56" t="s">
        <v>111</v>
      </c>
      <c r="D12" s="4" t="s">
        <v>118</v>
      </c>
      <c r="E12" s="428" t="s">
        <v>465</v>
      </c>
      <c r="F12" s="428"/>
      <c r="G12" s="4"/>
      <c r="H12" s="4"/>
      <c r="I12" s="556"/>
      <c r="J12" s="4"/>
      <c r="K12" s="4" t="s">
        <v>390</v>
      </c>
      <c r="L12" s="5">
        <v>2</v>
      </c>
      <c r="M12" s="48">
        <v>17697</v>
      </c>
      <c r="N12" s="48">
        <v>0.5</v>
      </c>
      <c r="O12" s="48"/>
      <c r="P12" s="358">
        <v>2.81</v>
      </c>
      <c r="Q12" s="48">
        <f t="shared" ref="Q12:Q19" si="4">M12*P12*N12</f>
        <v>24864.285</v>
      </c>
      <c r="R12" s="209">
        <f>IF(H12&gt;0,25%,0)</f>
        <v>0</v>
      </c>
      <c r="S12" s="53">
        <f>ROUND((Q12+W12)*R12,2)</f>
        <v>0</v>
      </c>
      <c r="T12" s="53"/>
      <c r="U12" s="370">
        <f t="shared" si="0"/>
        <v>0</v>
      </c>
      <c r="V12" s="210">
        <v>0.1</v>
      </c>
      <c r="W12" s="53">
        <f t="shared" si="2"/>
        <v>2486.4285</v>
      </c>
      <c r="X12" s="55"/>
      <c r="Y12" s="53">
        <f>M12*X12*N12</f>
        <v>0</v>
      </c>
      <c r="Z12" s="53"/>
      <c r="AA12" s="53"/>
      <c r="AB12" s="53">
        <f t="shared" si="3"/>
        <v>27350.713499999998</v>
      </c>
      <c r="AD12" s="9"/>
    </row>
    <row r="13" spans="1:41" s="6" customFormat="1" ht="15" hidden="1" x14ac:dyDescent="0.25">
      <c r="A13" s="4">
        <v>3</v>
      </c>
      <c r="N13" s="461"/>
      <c r="Q13" s="48">
        <f t="shared" si="4"/>
        <v>0</v>
      </c>
      <c r="U13" s="370">
        <f t="shared" si="0"/>
        <v>0</v>
      </c>
      <c r="V13" s="210">
        <f t="shared" si="1"/>
        <v>0</v>
      </c>
      <c r="W13" s="53">
        <f t="shared" si="2"/>
        <v>0</v>
      </c>
      <c r="AB13" s="53">
        <f t="shared" si="3"/>
        <v>0</v>
      </c>
      <c r="AD13" s="9"/>
    </row>
    <row r="14" spans="1:41" s="6" customFormat="1" ht="15" x14ac:dyDescent="0.25">
      <c r="A14" s="555">
        <v>4</v>
      </c>
      <c r="B14" s="547" t="s">
        <v>466</v>
      </c>
      <c r="C14" s="56" t="s">
        <v>73</v>
      </c>
      <c r="D14" s="4" t="s">
        <v>28</v>
      </c>
      <c r="E14" s="4" t="s">
        <v>468</v>
      </c>
      <c r="F14" s="4"/>
      <c r="G14" s="4"/>
      <c r="H14" s="4"/>
      <c r="I14" s="555">
        <v>1</v>
      </c>
      <c r="J14" s="12"/>
      <c r="K14" s="12" t="s">
        <v>37</v>
      </c>
      <c r="L14" s="5">
        <v>2</v>
      </c>
      <c r="M14" s="48">
        <v>17697</v>
      </c>
      <c r="N14" s="48">
        <v>1</v>
      </c>
      <c r="O14" s="48"/>
      <c r="P14" s="358">
        <v>4.1900000000000004</v>
      </c>
      <c r="Q14" s="48">
        <f t="shared" si="4"/>
        <v>74150.430000000008</v>
      </c>
      <c r="R14" s="209">
        <v>0</v>
      </c>
      <c r="S14" s="53">
        <f t="shared" ref="S14:S19" si="5">ROUND((Q14+W14)*R14,2)</f>
        <v>0</v>
      </c>
      <c r="T14" s="53"/>
      <c r="U14" s="370">
        <f t="shared" si="0"/>
        <v>0</v>
      </c>
      <c r="V14" s="210">
        <f>IF(I14&gt;0,10%,0)</f>
        <v>0.1</v>
      </c>
      <c r="W14" s="53">
        <f t="shared" si="2"/>
        <v>7415.0430000000015</v>
      </c>
      <c r="X14" s="55"/>
      <c r="Y14" s="53">
        <f t="shared" ref="Y14:Y46" si="6">M14*X14*N14</f>
        <v>0</v>
      </c>
      <c r="Z14" s="53"/>
      <c r="AA14" s="53"/>
      <c r="AB14" s="53">
        <f t="shared" si="3"/>
        <v>81565.473000000013</v>
      </c>
      <c r="AD14" s="9"/>
    </row>
    <row r="15" spans="1:41" s="6" customFormat="1" ht="15" x14ac:dyDescent="0.25">
      <c r="A15" s="556"/>
      <c r="B15" s="548"/>
      <c r="C15" s="56" t="s">
        <v>317</v>
      </c>
      <c r="D15" s="4" t="s">
        <v>28</v>
      </c>
      <c r="E15" s="4" t="s">
        <v>468</v>
      </c>
      <c r="F15" s="4"/>
      <c r="G15" s="4"/>
      <c r="H15" s="4"/>
      <c r="I15" s="556"/>
      <c r="J15" s="12"/>
      <c r="K15" s="12" t="s">
        <v>359</v>
      </c>
      <c r="L15" s="5">
        <v>1</v>
      </c>
      <c r="M15" s="48">
        <v>17697</v>
      </c>
      <c r="N15" s="48">
        <v>0.5</v>
      </c>
      <c r="O15" s="48"/>
      <c r="P15" s="358">
        <v>3.01</v>
      </c>
      <c r="Q15" s="48">
        <f t="shared" si="4"/>
        <v>26633.984999999997</v>
      </c>
      <c r="R15" s="209">
        <f>IF(H15&gt;0,25%,0)</f>
        <v>0</v>
      </c>
      <c r="S15" s="53">
        <f t="shared" si="5"/>
        <v>0</v>
      </c>
      <c r="T15" s="53"/>
      <c r="U15" s="370">
        <f t="shared" si="0"/>
        <v>0</v>
      </c>
      <c r="V15" s="210">
        <v>0.1</v>
      </c>
      <c r="W15" s="53">
        <f t="shared" si="2"/>
        <v>2663.3984999999998</v>
      </c>
      <c r="X15" s="55"/>
      <c r="Y15" s="53">
        <f t="shared" si="6"/>
        <v>0</v>
      </c>
      <c r="Z15" s="53"/>
      <c r="AA15" s="53"/>
      <c r="AB15" s="53">
        <f t="shared" si="3"/>
        <v>29297.383499999996</v>
      </c>
      <c r="AD15" s="9"/>
    </row>
    <row r="16" spans="1:41" s="6" customFormat="1" ht="15" x14ac:dyDescent="0.25">
      <c r="A16" s="555">
        <v>5</v>
      </c>
      <c r="B16" s="547" t="s">
        <v>417</v>
      </c>
      <c r="C16" s="56" t="s">
        <v>418</v>
      </c>
      <c r="D16" s="4" t="s">
        <v>357</v>
      </c>
      <c r="E16" s="4" t="s">
        <v>467</v>
      </c>
      <c r="F16" s="4"/>
      <c r="G16" s="4" t="s">
        <v>28</v>
      </c>
      <c r="H16" s="4"/>
      <c r="I16" s="555">
        <v>1</v>
      </c>
      <c r="J16" s="12"/>
      <c r="K16" s="12" t="s">
        <v>49</v>
      </c>
      <c r="L16" s="5">
        <v>1</v>
      </c>
      <c r="M16" s="358">
        <v>17697</v>
      </c>
      <c r="N16" s="48">
        <v>1</v>
      </c>
      <c r="O16" s="358"/>
      <c r="P16" s="358">
        <v>4.53</v>
      </c>
      <c r="Q16" s="48">
        <f t="shared" si="4"/>
        <v>80167.41</v>
      </c>
      <c r="R16" s="415">
        <f>IF(H16&gt;0,25%,0)</f>
        <v>0</v>
      </c>
      <c r="S16" s="370">
        <f t="shared" si="5"/>
        <v>0</v>
      </c>
      <c r="T16" s="370"/>
      <c r="U16" s="370">
        <f t="shared" si="0"/>
        <v>0</v>
      </c>
      <c r="V16" s="416">
        <f>IF(I16&gt;0,10%,0)</f>
        <v>0.1</v>
      </c>
      <c r="W16" s="53">
        <f t="shared" si="2"/>
        <v>8016.7410000000009</v>
      </c>
      <c r="X16" s="417">
        <v>0.4</v>
      </c>
      <c r="Y16" s="53">
        <f t="shared" si="6"/>
        <v>7078.8</v>
      </c>
      <c r="Z16" s="53"/>
      <c r="AA16" s="53"/>
      <c r="AB16" s="53">
        <f t="shared" ref="AB16:AB46" si="7">U16+W16+Y16</f>
        <v>15095.541000000001</v>
      </c>
      <c r="AD16" s="9"/>
    </row>
    <row r="17" spans="1:30" s="6" customFormat="1" ht="15" x14ac:dyDescent="0.25">
      <c r="A17" s="556"/>
      <c r="B17" s="548"/>
      <c r="C17" s="56" t="s">
        <v>419</v>
      </c>
      <c r="D17" s="4" t="s">
        <v>357</v>
      </c>
      <c r="E17" s="4" t="s">
        <v>467</v>
      </c>
      <c r="F17" s="4"/>
      <c r="G17" s="4" t="s">
        <v>28</v>
      </c>
      <c r="H17" s="4"/>
      <c r="I17" s="556"/>
      <c r="J17" s="12"/>
      <c r="K17" s="12" t="s">
        <v>49</v>
      </c>
      <c r="L17" s="5">
        <v>1</v>
      </c>
      <c r="M17" s="48">
        <v>17697</v>
      </c>
      <c r="N17" s="48">
        <v>0.5</v>
      </c>
      <c r="O17" s="48"/>
      <c r="P17" s="358">
        <v>4.53</v>
      </c>
      <c r="Q17" s="48">
        <f t="shared" si="4"/>
        <v>40083.705000000002</v>
      </c>
      <c r="R17" s="415">
        <f>IF(H17&gt;0,25%,0)</f>
        <v>0</v>
      </c>
      <c r="S17" s="370">
        <f t="shared" si="5"/>
        <v>0</v>
      </c>
      <c r="T17" s="370"/>
      <c r="U17" s="370">
        <f t="shared" si="0"/>
        <v>0</v>
      </c>
      <c r="V17" s="416">
        <v>0.1</v>
      </c>
      <c r="W17" s="53">
        <f t="shared" si="2"/>
        <v>4008.3705000000004</v>
      </c>
      <c r="X17" s="417">
        <v>0.4</v>
      </c>
      <c r="Y17" s="53">
        <f t="shared" si="6"/>
        <v>3539.4</v>
      </c>
      <c r="Z17" s="53"/>
      <c r="AA17" s="53"/>
      <c r="AB17" s="53">
        <f t="shared" si="7"/>
        <v>7547.7705000000005</v>
      </c>
      <c r="AD17" s="9"/>
    </row>
    <row r="18" spans="1:30" s="6" customFormat="1" ht="15" x14ac:dyDescent="0.25">
      <c r="A18" s="4">
        <v>6</v>
      </c>
      <c r="B18" s="441" t="s">
        <v>432</v>
      </c>
      <c r="C18" s="56" t="s">
        <v>66</v>
      </c>
      <c r="D18" s="4" t="s">
        <v>28</v>
      </c>
      <c r="E18" s="4" t="s">
        <v>471</v>
      </c>
      <c r="F18" s="4"/>
      <c r="G18" s="4"/>
      <c r="H18" s="4"/>
      <c r="I18" s="4">
        <v>1</v>
      </c>
      <c r="J18" s="12"/>
      <c r="K18" s="12" t="s">
        <v>53</v>
      </c>
      <c r="L18" s="5">
        <v>4</v>
      </c>
      <c r="M18" s="48">
        <v>17697</v>
      </c>
      <c r="N18" s="48">
        <v>0.25</v>
      </c>
      <c r="O18" s="48"/>
      <c r="P18" s="358">
        <v>4.7699999999999996</v>
      </c>
      <c r="Q18" s="48">
        <f t="shared" si="4"/>
        <v>21103.672499999997</v>
      </c>
      <c r="R18" s="415">
        <f>IF(H18&gt;0,25%,0)</f>
        <v>0</v>
      </c>
      <c r="S18" s="370">
        <f t="shared" si="5"/>
        <v>0</v>
      </c>
      <c r="T18" s="370"/>
      <c r="U18" s="370">
        <f t="shared" si="0"/>
        <v>0</v>
      </c>
      <c r="V18" s="416">
        <f>IF(I18&gt;0,10%,0)</f>
        <v>0.1</v>
      </c>
      <c r="W18" s="53">
        <f t="shared" si="2"/>
        <v>2110.3672499999998</v>
      </c>
      <c r="X18" s="417">
        <v>0.4</v>
      </c>
      <c r="Y18" s="53">
        <f t="shared" si="6"/>
        <v>1769.7</v>
      </c>
      <c r="Z18" s="53"/>
      <c r="AA18" s="53"/>
      <c r="AB18" s="53">
        <f t="shared" si="7"/>
        <v>3880.0672500000001</v>
      </c>
      <c r="AD18" s="9"/>
    </row>
    <row r="19" spans="1:30" s="6" customFormat="1" ht="15" x14ac:dyDescent="0.25">
      <c r="A19" s="4">
        <v>7</v>
      </c>
      <c r="B19" s="441" t="s">
        <v>434</v>
      </c>
      <c r="C19" s="56" t="s">
        <v>435</v>
      </c>
      <c r="D19" s="4" t="s">
        <v>28</v>
      </c>
      <c r="E19" s="4" t="s">
        <v>472</v>
      </c>
      <c r="F19" s="4"/>
      <c r="G19" s="4"/>
      <c r="H19" s="4"/>
      <c r="I19" s="4">
        <v>1</v>
      </c>
      <c r="J19" s="12"/>
      <c r="K19" s="12" t="s">
        <v>53</v>
      </c>
      <c r="L19" s="5">
        <v>4</v>
      </c>
      <c r="M19" s="48">
        <v>17697</v>
      </c>
      <c r="N19" s="48">
        <v>0.25</v>
      </c>
      <c r="O19" s="48"/>
      <c r="P19" s="358">
        <v>4.7699999999999996</v>
      </c>
      <c r="Q19" s="48">
        <f t="shared" si="4"/>
        <v>21103.672499999997</v>
      </c>
      <c r="R19" s="415">
        <f>IF(H19&gt;0,25%,0)</f>
        <v>0</v>
      </c>
      <c r="S19" s="370">
        <f t="shared" si="5"/>
        <v>0</v>
      </c>
      <c r="T19" s="370"/>
      <c r="U19" s="370">
        <f t="shared" si="0"/>
        <v>0</v>
      </c>
      <c r="V19" s="416">
        <f>IF(I19&gt;0,10%,0)</f>
        <v>0.1</v>
      </c>
      <c r="W19" s="53">
        <f t="shared" si="2"/>
        <v>2110.3672499999998</v>
      </c>
      <c r="X19" s="417">
        <v>0.4</v>
      </c>
      <c r="Y19" s="53">
        <f t="shared" si="6"/>
        <v>1769.7</v>
      </c>
      <c r="Z19" s="53"/>
      <c r="AA19" s="53"/>
      <c r="AB19" s="53">
        <f t="shared" si="7"/>
        <v>3880.0672500000001</v>
      </c>
      <c r="AD19" s="9"/>
    </row>
    <row r="20" spans="1:30" s="6" customFormat="1" ht="15" x14ac:dyDescent="0.25">
      <c r="A20" s="4">
        <v>8</v>
      </c>
      <c r="B20" s="451" t="s">
        <v>460</v>
      </c>
      <c r="C20" s="56" t="s">
        <v>78</v>
      </c>
      <c r="D20" s="4" t="s">
        <v>28</v>
      </c>
      <c r="E20" s="4" t="s">
        <v>473</v>
      </c>
      <c r="F20" s="4"/>
      <c r="G20" s="4">
        <v>1</v>
      </c>
      <c r="H20" s="4"/>
      <c r="I20" s="4">
        <v>1</v>
      </c>
      <c r="J20" s="12"/>
      <c r="K20" s="12" t="s">
        <v>56</v>
      </c>
      <c r="L20" s="5">
        <v>2</v>
      </c>
      <c r="M20" s="48">
        <v>17697</v>
      </c>
      <c r="N20" s="48">
        <v>1.25</v>
      </c>
      <c r="O20" s="48"/>
      <c r="P20" s="358">
        <v>4.2300000000000004</v>
      </c>
      <c r="Q20" s="358">
        <f>M20*P20*N20</f>
        <v>93572.887500000012</v>
      </c>
      <c r="R20" s="415"/>
      <c r="S20" s="370"/>
      <c r="T20" s="53">
        <v>1.5</v>
      </c>
      <c r="U20" s="370">
        <f t="shared" si="0"/>
        <v>140359.33125000002</v>
      </c>
      <c r="V20" s="416">
        <v>0.1</v>
      </c>
      <c r="W20" s="53">
        <f t="shared" ref="W20:W46" si="8">U20*V20</f>
        <v>14035.933125000003</v>
      </c>
      <c r="X20" s="417">
        <v>0.4</v>
      </c>
      <c r="Y20" s="53">
        <f t="shared" si="6"/>
        <v>8848.5</v>
      </c>
      <c r="Z20" s="53"/>
      <c r="AA20" s="53"/>
      <c r="AB20" s="53">
        <f t="shared" si="7"/>
        <v>163243.76437500003</v>
      </c>
      <c r="AD20" s="9"/>
    </row>
    <row r="21" spans="1:30" s="6" customFormat="1" ht="15" x14ac:dyDescent="0.25">
      <c r="A21" s="428">
        <v>9</v>
      </c>
      <c r="B21" s="430" t="s">
        <v>333</v>
      </c>
      <c r="C21" s="426" t="s">
        <v>78</v>
      </c>
      <c r="D21" s="428" t="s">
        <v>357</v>
      </c>
      <c r="E21" s="428" t="s">
        <v>459</v>
      </c>
      <c r="F21" s="428"/>
      <c r="G21" s="428">
        <v>1</v>
      </c>
      <c r="H21" s="428"/>
      <c r="I21" s="428">
        <v>1</v>
      </c>
      <c r="J21" s="428" t="s">
        <v>48</v>
      </c>
      <c r="K21" s="428" t="s">
        <v>49</v>
      </c>
      <c r="L21" s="5">
        <v>2</v>
      </c>
      <c r="M21" s="358">
        <v>17697</v>
      </c>
      <c r="N21" s="379">
        <v>1.25</v>
      </c>
      <c r="O21" s="358"/>
      <c r="P21" s="358">
        <v>4.3899999999999997</v>
      </c>
      <c r="Q21" s="358">
        <f t="shared" ref="Q21:Q67" si="9">M21*P21*N21</f>
        <v>97112.287499999977</v>
      </c>
      <c r="R21" s="415">
        <f t="shared" ref="R21:R33" si="10">IF(H21&gt;0,25%,0)</f>
        <v>0</v>
      </c>
      <c r="S21" s="370">
        <f t="shared" ref="S21:S33" si="11">ROUND((Q21+W21)*R21,2)</f>
        <v>0</v>
      </c>
      <c r="T21" s="53">
        <v>1.5</v>
      </c>
      <c r="U21" s="370">
        <f t="shared" si="0"/>
        <v>145668.43124999997</v>
      </c>
      <c r="V21" s="416">
        <f t="shared" ref="V21:V55" si="12">IF(I21&gt;0,10%,0)</f>
        <v>0.1</v>
      </c>
      <c r="W21" s="53">
        <f t="shared" si="8"/>
        <v>14566.843124999998</v>
      </c>
      <c r="X21" s="417">
        <v>0.4</v>
      </c>
      <c r="Y21" s="53">
        <f t="shared" si="6"/>
        <v>8848.5</v>
      </c>
      <c r="Z21" s="53"/>
      <c r="AA21" s="53"/>
      <c r="AB21" s="53">
        <f t="shared" si="7"/>
        <v>169083.77437499995</v>
      </c>
      <c r="AD21" s="13"/>
    </row>
    <row r="22" spans="1:30" s="449" customFormat="1" ht="15" x14ac:dyDescent="0.25">
      <c r="A22" s="428">
        <v>10</v>
      </c>
      <c r="B22" s="430" t="s">
        <v>335</v>
      </c>
      <c r="C22" s="426" t="s">
        <v>78</v>
      </c>
      <c r="D22" s="428" t="s">
        <v>28</v>
      </c>
      <c r="E22" s="428" t="s">
        <v>474</v>
      </c>
      <c r="F22" s="428"/>
      <c r="G22" s="428">
        <v>1</v>
      </c>
      <c r="H22" s="428"/>
      <c r="I22" s="428">
        <v>1</v>
      </c>
      <c r="J22" s="428" t="s">
        <v>48</v>
      </c>
      <c r="K22" s="428" t="s">
        <v>56</v>
      </c>
      <c r="L22" s="5">
        <v>2</v>
      </c>
      <c r="M22" s="358">
        <v>17697</v>
      </c>
      <c r="N22" s="373">
        <v>1.25</v>
      </c>
      <c r="O22" s="358"/>
      <c r="P22" s="358">
        <v>4.3</v>
      </c>
      <c r="Q22" s="358">
        <f t="shared" si="9"/>
        <v>95121.374999999985</v>
      </c>
      <c r="R22" s="415">
        <f t="shared" si="10"/>
        <v>0</v>
      </c>
      <c r="S22" s="370">
        <f t="shared" si="11"/>
        <v>0</v>
      </c>
      <c r="T22" s="53">
        <v>1.5</v>
      </c>
      <c r="U22" s="370">
        <f t="shared" si="0"/>
        <v>142682.06249999997</v>
      </c>
      <c r="V22" s="416">
        <f t="shared" si="12"/>
        <v>0.1</v>
      </c>
      <c r="W22" s="53">
        <f t="shared" si="8"/>
        <v>14268.206249999997</v>
      </c>
      <c r="X22" s="417">
        <v>0.4</v>
      </c>
      <c r="Y22" s="53">
        <f t="shared" si="6"/>
        <v>8848.5</v>
      </c>
      <c r="Z22" s="53"/>
      <c r="AA22" s="53"/>
      <c r="AB22" s="53">
        <f t="shared" si="7"/>
        <v>165798.76874999996</v>
      </c>
      <c r="AD22" s="450"/>
    </row>
    <row r="23" spans="1:30" s="6" customFormat="1" ht="15" x14ac:dyDescent="0.25">
      <c r="A23" s="428">
        <v>11</v>
      </c>
      <c r="B23" s="430" t="s">
        <v>294</v>
      </c>
      <c r="C23" s="426" t="s">
        <v>78</v>
      </c>
      <c r="D23" s="428" t="s">
        <v>357</v>
      </c>
      <c r="E23" s="428" t="s">
        <v>475</v>
      </c>
      <c r="F23" s="428"/>
      <c r="G23" s="428">
        <v>2</v>
      </c>
      <c r="H23" s="428"/>
      <c r="I23" s="428">
        <v>1</v>
      </c>
      <c r="J23" s="428" t="s">
        <v>48</v>
      </c>
      <c r="K23" s="428" t="s">
        <v>49</v>
      </c>
      <c r="L23" s="5">
        <v>3</v>
      </c>
      <c r="M23" s="358">
        <v>17697</v>
      </c>
      <c r="N23" s="373">
        <v>1.25</v>
      </c>
      <c r="O23" s="358"/>
      <c r="P23" s="358">
        <v>3.85</v>
      </c>
      <c r="Q23" s="358">
        <f t="shared" si="9"/>
        <v>85166.8125</v>
      </c>
      <c r="R23" s="415">
        <f t="shared" si="10"/>
        <v>0</v>
      </c>
      <c r="S23" s="370">
        <f t="shared" si="11"/>
        <v>0</v>
      </c>
      <c r="T23" s="53">
        <v>1.5</v>
      </c>
      <c r="U23" s="370">
        <f t="shared" si="0"/>
        <v>127750.21875</v>
      </c>
      <c r="V23" s="416">
        <f t="shared" si="12"/>
        <v>0.1</v>
      </c>
      <c r="W23" s="53">
        <f t="shared" si="8"/>
        <v>12775.021875</v>
      </c>
      <c r="X23" s="417">
        <v>0.4</v>
      </c>
      <c r="Y23" s="53">
        <f t="shared" si="6"/>
        <v>8848.5</v>
      </c>
      <c r="Z23" s="53"/>
      <c r="AA23" s="53"/>
      <c r="AB23" s="53">
        <f t="shared" si="7"/>
        <v>149373.74062500001</v>
      </c>
      <c r="AD23" s="13"/>
    </row>
    <row r="24" spans="1:30" s="6" customFormat="1" ht="15" x14ac:dyDescent="0.25">
      <c r="A24" s="428">
        <v>12</v>
      </c>
      <c r="B24" s="431" t="s">
        <v>87</v>
      </c>
      <c r="C24" s="426" t="s">
        <v>78</v>
      </c>
      <c r="D24" s="428" t="s">
        <v>28</v>
      </c>
      <c r="E24" s="428" t="s">
        <v>476</v>
      </c>
      <c r="F24" s="428"/>
      <c r="G24" s="428" t="s">
        <v>28</v>
      </c>
      <c r="H24" s="428"/>
      <c r="I24" s="428">
        <v>1</v>
      </c>
      <c r="J24" s="428" t="s">
        <v>48</v>
      </c>
      <c r="K24" s="428" t="s">
        <v>56</v>
      </c>
      <c r="L24" s="5">
        <v>1</v>
      </c>
      <c r="M24" s="358">
        <v>17698</v>
      </c>
      <c r="N24" s="373">
        <v>1.25</v>
      </c>
      <c r="O24" s="358"/>
      <c r="P24" s="358">
        <v>4.75</v>
      </c>
      <c r="Q24" s="358">
        <f t="shared" si="9"/>
        <v>105081.875</v>
      </c>
      <c r="R24" s="415">
        <f t="shared" si="10"/>
        <v>0</v>
      </c>
      <c r="S24" s="370">
        <f t="shared" si="11"/>
        <v>0</v>
      </c>
      <c r="T24" s="53">
        <v>1.5</v>
      </c>
      <c r="U24" s="370">
        <f t="shared" si="0"/>
        <v>157622.8125</v>
      </c>
      <c r="V24" s="416">
        <f t="shared" si="12"/>
        <v>0.1</v>
      </c>
      <c r="W24" s="53">
        <f t="shared" si="8"/>
        <v>15762.28125</v>
      </c>
      <c r="X24" s="417">
        <v>0.4</v>
      </c>
      <c r="Y24" s="53">
        <f t="shared" si="6"/>
        <v>8849</v>
      </c>
      <c r="Z24" s="53"/>
      <c r="AA24" s="53"/>
      <c r="AB24" s="53">
        <f t="shared" si="7"/>
        <v>182234.09375</v>
      </c>
      <c r="AD24" s="13"/>
    </row>
    <row r="25" spans="1:30" s="6" customFormat="1" ht="15" x14ac:dyDescent="0.25">
      <c r="A25" s="428">
        <v>13</v>
      </c>
      <c r="B25" s="430" t="s">
        <v>385</v>
      </c>
      <c r="C25" s="426" t="s">
        <v>78</v>
      </c>
      <c r="D25" s="428" t="s">
        <v>28</v>
      </c>
      <c r="E25" s="428" t="s">
        <v>477</v>
      </c>
      <c r="F25" s="428"/>
      <c r="G25" s="428">
        <v>1</v>
      </c>
      <c r="H25" s="428"/>
      <c r="I25" s="428">
        <v>1</v>
      </c>
      <c r="J25" s="428" t="s">
        <v>48</v>
      </c>
      <c r="K25" s="428" t="s">
        <v>56</v>
      </c>
      <c r="L25" s="5">
        <v>2</v>
      </c>
      <c r="M25" s="358">
        <v>17697</v>
      </c>
      <c r="N25" s="373">
        <v>1.25</v>
      </c>
      <c r="O25" s="358"/>
      <c r="P25" s="358">
        <v>4.4400000000000004</v>
      </c>
      <c r="Q25" s="358">
        <f t="shared" si="9"/>
        <v>98218.35</v>
      </c>
      <c r="R25" s="415">
        <f t="shared" si="10"/>
        <v>0</v>
      </c>
      <c r="S25" s="370">
        <f t="shared" si="11"/>
        <v>0</v>
      </c>
      <c r="T25" s="53">
        <v>1.5</v>
      </c>
      <c r="U25" s="370">
        <f t="shared" si="0"/>
        <v>147327.52500000002</v>
      </c>
      <c r="V25" s="416">
        <f t="shared" si="12"/>
        <v>0.1</v>
      </c>
      <c r="W25" s="53">
        <f t="shared" si="8"/>
        <v>14732.752500000002</v>
      </c>
      <c r="X25" s="417">
        <v>0.4</v>
      </c>
      <c r="Y25" s="53">
        <f t="shared" si="6"/>
        <v>8848.5</v>
      </c>
      <c r="Z25" s="53"/>
      <c r="AA25" s="53"/>
      <c r="AB25" s="53">
        <f t="shared" si="7"/>
        <v>170908.77750000003</v>
      </c>
      <c r="AD25" s="13"/>
    </row>
    <row r="26" spans="1:30" s="6" customFormat="1" ht="15" x14ac:dyDescent="0.25">
      <c r="A26" s="428"/>
      <c r="B26" s="553" t="s">
        <v>337</v>
      </c>
      <c r="C26" s="426" t="s">
        <v>63</v>
      </c>
      <c r="D26" s="428" t="s">
        <v>28</v>
      </c>
      <c r="E26" s="428" t="s">
        <v>478</v>
      </c>
      <c r="F26" s="428"/>
      <c r="G26" s="428">
        <v>1</v>
      </c>
      <c r="H26" s="428"/>
      <c r="I26" s="557">
        <v>1</v>
      </c>
      <c r="J26" s="428" t="s">
        <v>48</v>
      </c>
      <c r="K26" s="428" t="s">
        <v>56</v>
      </c>
      <c r="L26" s="5">
        <v>2</v>
      </c>
      <c r="M26" s="358">
        <v>17697</v>
      </c>
      <c r="N26" s="373">
        <v>0.25</v>
      </c>
      <c r="O26" s="358"/>
      <c r="P26" s="358">
        <v>4.09</v>
      </c>
      <c r="Q26" s="358">
        <f t="shared" si="9"/>
        <v>18095.182499999999</v>
      </c>
      <c r="R26" s="415"/>
      <c r="S26" s="370"/>
      <c r="T26" s="53">
        <v>1.5</v>
      </c>
      <c r="U26" s="370">
        <f t="shared" si="0"/>
        <v>27142.77375</v>
      </c>
      <c r="V26" s="416">
        <v>0.1</v>
      </c>
      <c r="W26" s="53">
        <f t="shared" si="8"/>
        <v>2714.2773750000001</v>
      </c>
      <c r="X26" s="417"/>
      <c r="Y26" s="53"/>
      <c r="Z26" s="53"/>
      <c r="AA26" s="53"/>
      <c r="AB26" s="53">
        <f t="shared" si="7"/>
        <v>29857.051125000002</v>
      </c>
      <c r="AD26" s="13"/>
    </row>
    <row r="27" spans="1:30" s="6" customFormat="1" ht="15" x14ac:dyDescent="0.25">
      <c r="A27" s="428">
        <v>14</v>
      </c>
      <c r="B27" s="554"/>
      <c r="C27" s="426" t="s">
        <v>78</v>
      </c>
      <c r="D27" s="428" t="s">
        <v>28</v>
      </c>
      <c r="E27" s="428" t="s">
        <v>478</v>
      </c>
      <c r="F27" s="428"/>
      <c r="G27" s="428">
        <v>1</v>
      </c>
      <c r="H27" s="428"/>
      <c r="I27" s="558"/>
      <c r="J27" s="428" t="s">
        <v>48</v>
      </c>
      <c r="K27" s="428" t="s">
        <v>56</v>
      </c>
      <c r="L27" s="5">
        <v>2</v>
      </c>
      <c r="M27" s="358">
        <v>17697</v>
      </c>
      <c r="N27" s="373">
        <v>1.25</v>
      </c>
      <c r="O27" s="358"/>
      <c r="P27" s="358">
        <v>4.09</v>
      </c>
      <c r="Q27" s="358">
        <f t="shared" si="9"/>
        <v>90475.912499999991</v>
      </c>
      <c r="R27" s="415">
        <f t="shared" si="10"/>
        <v>0</v>
      </c>
      <c r="S27" s="370">
        <f t="shared" si="11"/>
        <v>0</v>
      </c>
      <c r="T27" s="53">
        <v>1.5</v>
      </c>
      <c r="U27" s="370">
        <f t="shared" si="0"/>
        <v>135713.86874999999</v>
      </c>
      <c r="V27" s="416">
        <f>IF(I26&gt;0,10%,0)</f>
        <v>0.1</v>
      </c>
      <c r="W27" s="53">
        <f t="shared" si="8"/>
        <v>13571.386875</v>
      </c>
      <c r="X27" s="417">
        <v>0.4</v>
      </c>
      <c r="Y27" s="53">
        <f t="shared" si="6"/>
        <v>8848.5</v>
      </c>
      <c r="Z27" s="53"/>
      <c r="AA27" s="53"/>
      <c r="AB27" s="53">
        <f t="shared" si="7"/>
        <v>158133.75562499999</v>
      </c>
      <c r="AD27" s="13"/>
    </row>
    <row r="28" spans="1:30" s="6" customFormat="1" ht="15" x14ac:dyDescent="0.25">
      <c r="A28" s="428">
        <v>15</v>
      </c>
      <c r="B28" s="430" t="s">
        <v>388</v>
      </c>
      <c r="C28" s="426" t="s">
        <v>78</v>
      </c>
      <c r="D28" s="428" t="s">
        <v>357</v>
      </c>
      <c r="E28" s="428" t="s">
        <v>479</v>
      </c>
      <c r="F28" s="428"/>
      <c r="G28" s="428">
        <v>1</v>
      </c>
      <c r="H28" s="428"/>
      <c r="I28" s="428">
        <v>1</v>
      </c>
      <c r="J28" s="428" t="s">
        <v>48</v>
      </c>
      <c r="K28" s="428" t="s">
        <v>49</v>
      </c>
      <c r="L28" s="5">
        <v>2</v>
      </c>
      <c r="M28" s="358">
        <v>17697</v>
      </c>
      <c r="N28" s="373">
        <v>1.25</v>
      </c>
      <c r="O28" s="358"/>
      <c r="P28" s="358">
        <v>4.0999999999999996</v>
      </c>
      <c r="Q28" s="358">
        <f t="shared" si="9"/>
        <v>90697.125</v>
      </c>
      <c r="R28" s="415">
        <f t="shared" si="10"/>
        <v>0</v>
      </c>
      <c r="S28" s="370">
        <f t="shared" si="11"/>
        <v>0</v>
      </c>
      <c r="T28" s="53">
        <v>1.5</v>
      </c>
      <c r="U28" s="370">
        <f t="shared" si="0"/>
        <v>136045.6875</v>
      </c>
      <c r="V28" s="416">
        <f t="shared" si="12"/>
        <v>0.1</v>
      </c>
      <c r="W28" s="53">
        <f t="shared" si="8"/>
        <v>13604.56875</v>
      </c>
      <c r="X28" s="417">
        <v>0.4</v>
      </c>
      <c r="Y28" s="53">
        <f t="shared" si="6"/>
        <v>8848.5</v>
      </c>
      <c r="Z28" s="53"/>
      <c r="AA28" s="53"/>
      <c r="AB28" s="53">
        <f t="shared" si="7"/>
        <v>158498.75625000001</v>
      </c>
      <c r="AD28" s="9"/>
    </row>
    <row r="29" spans="1:30" s="6" customFormat="1" ht="15" x14ac:dyDescent="0.25">
      <c r="A29" s="428">
        <v>16</v>
      </c>
      <c r="B29" s="430" t="s">
        <v>77</v>
      </c>
      <c r="C29" s="426" t="s">
        <v>78</v>
      </c>
      <c r="D29" s="428" t="s">
        <v>28</v>
      </c>
      <c r="E29" s="428" t="s">
        <v>422</v>
      </c>
      <c r="F29" s="428"/>
      <c r="G29" s="428">
        <v>1</v>
      </c>
      <c r="H29" s="428"/>
      <c r="I29" s="428">
        <v>1</v>
      </c>
      <c r="J29" s="428" t="s">
        <v>48</v>
      </c>
      <c r="K29" s="428" t="s">
        <v>56</v>
      </c>
      <c r="L29" s="5">
        <v>2</v>
      </c>
      <c r="M29" s="358">
        <v>17697</v>
      </c>
      <c r="N29" s="373">
        <v>1.25</v>
      </c>
      <c r="O29" s="358"/>
      <c r="P29" s="358">
        <v>4.2300000000000004</v>
      </c>
      <c r="Q29" s="358">
        <f t="shared" si="9"/>
        <v>93572.887500000012</v>
      </c>
      <c r="R29" s="415">
        <f t="shared" si="10"/>
        <v>0</v>
      </c>
      <c r="S29" s="370">
        <f t="shared" si="11"/>
        <v>0</v>
      </c>
      <c r="T29" s="53">
        <v>1.5</v>
      </c>
      <c r="U29" s="370">
        <f t="shared" si="0"/>
        <v>140359.33125000002</v>
      </c>
      <c r="V29" s="416">
        <f t="shared" si="12"/>
        <v>0.1</v>
      </c>
      <c r="W29" s="53">
        <f t="shared" si="8"/>
        <v>14035.933125000003</v>
      </c>
      <c r="X29" s="417">
        <v>0.4</v>
      </c>
      <c r="Y29" s="53">
        <f t="shared" si="6"/>
        <v>8848.5</v>
      </c>
      <c r="Z29" s="53"/>
      <c r="AA29" s="53"/>
      <c r="AB29" s="53">
        <f t="shared" si="7"/>
        <v>163243.76437500003</v>
      </c>
      <c r="AD29" s="9"/>
    </row>
    <row r="30" spans="1:30" s="6" customFormat="1" ht="15" x14ac:dyDescent="0.25">
      <c r="A30" s="557">
        <v>17</v>
      </c>
      <c r="B30" s="553" t="s">
        <v>461</v>
      </c>
      <c r="C30" s="426" t="s">
        <v>63</v>
      </c>
      <c r="D30" s="428" t="s">
        <v>28</v>
      </c>
      <c r="E30" s="428" t="s">
        <v>480</v>
      </c>
      <c r="F30" s="428"/>
      <c r="G30" s="428">
        <v>1</v>
      </c>
      <c r="H30" s="428"/>
      <c r="I30" s="557">
        <v>1</v>
      </c>
      <c r="J30" s="428" t="s">
        <v>48</v>
      </c>
      <c r="K30" s="428" t="s">
        <v>56</v>
      </c>
      <c r="L30" s="5">
        <v>2</v>
      </c>
      <c r="M30" s="358">
        <v>17697</v>
      </c>
      <c r="N30" s="373">
        <v>0.25</v>
      </c>
      <c r="O30" s="358"/>
      <c r="P30" s="358">
        <v>4.37</v>
      </c>
      <c r="Q30" s="358">
        <f t="shared" si="9"/>
        <v>19333.9725</v>
      </c>
      <c r="R30" s="415">
        <f t="shared" si="10"/>
        <v>0</v>
      </c>
      <c r="S30" s="370">
        <f t="shared" si="11"/>
        <v>0</v>
      </c>
      <c r="T30" s="53">
        <v>1.5</v>
      </c>
      <c r="U30" s="370">
        <f t="shared" si="0"/>
        <v>29000.958749999998</v>
      </c>
      <c r="V30" s="416">
        <f t="shared" si="12"/>
        <v>0.1</v>
      </c>
      <c r="W30" s="53">
        <f t="shared" si="8"/>
        <v>2900.095875</v>
      </c>
      <c r="X30" s="417"/>
      <c r="Y30" s="53">
        <f t="shared" si="6"/>
        <v>0</v>
      </c>
      <c r="Z30" s="53"/>
      <c r="AA30" s="53"/>
      <c r="AB30" s="53">
        <f t="shared" si="7"/>
        <v>31901.054624999997</v>
      </c>
      <c r="AD30" s="9"/>
    </row>
    <row r="31" spans="1:30" s="6" customFormat="1" ht="15" x14ac:dyDescent="0.25">
      <c r="A31" s="558"/>
      <c r="B31" s="554"/>
      <c r="C31" s="426" t="s">
        <v>78</v>
      </c>
      <c r="D31" s="428" t="s">
        <v>28</v>
      </c>
      <c r="E31" s="428" t="s">
        <v>480</v>
      </c>
      <c r="F31" s="428"/>
      <c r="G31" s="428">
        <v>1</v>
      </c>
      <c r="H31" s="428"/>
      <c r="I31" s="558"/>
      <c r="J31" s="428" t="s">
        <v>48</v>
      </c>
      <c r="K31" s="428" t="s">
        <v>56</v>
      </c>
      <c r="L31" s="5">
        <v>2</v>
      </c>
      <c r="M31" s="358">
        <v>17697</v>
      </c>
      <c r="N31" s="373">
        <v>1.25</v>
      </c>
      <c r="O31" s="358"/>
      <c r="P31" s="358">
        <v>4.37</v>
      </c>
      <c r="Q31" s="358">
        <f t="shared" si="9"/>
        <v>96669.862500000003</v>
      </c>
      <c r="R31" s="415">
        <f t="shared" si="10"/>
        <v>0</v>
      </c>
      <c r="S31" s="370">
        <f t="shared" si="11"/>
        <v>0</v>
      </c>
      <c r="T31" s="53">
        <v>1.5</v>
      </c>
      <c r="U31" s="370">
        <f t="shared" si="0"/>
        <v>145004.79375000001</v>
      </c>
      <c r="V31" s="416">
        <v>0.1</v>
      </c>
      <c r="W31" s="53">
        <f t="shared" si="8"/>
        <v>14500.479375000003</v>
      </c>
      <c r="X31" s="417">
        <v>0.4</v>
      </c>
      <c r="Y31" s="53">
        <f t="shared" si="6"/>
        <v>8848.5</v>
      </c>
      <c r="Z31" s="53"/>
      <c r="AA31" s="53"/>
      <c r="AB31" s="53">
        <f t="shared" si="7"/>
        <v>168353.77312500001</v>
      </c>
      <c r="AD31" s="9"/>
    </row>
    <row r="32" spans="1:30" s="6" customFormat="1" ht="15" x14ac:dyDescent="0.25">
      <c r="A32" s="428">
        <v>18</v>
      </c>
      <c r="B32" s="430" t="s">
        <v>445</v>
      </c>
      <c r="C32" s="426" t="s">
        <v>392</v>
      </c>
      <c r="D32" s="428" t="s">
        <v>28</v>
      </c>
      <c r="E32" s="428" t="s">
        <v>481</v>
      </c>
      <c r="F32" s="428"/>
      <c r="G32" s="428" t="s">
        <v>455</v>
      </c>
      <c r="H32" s="428"/>
      <c r="I32" s="428">
        <v>1</v>
      </c>
      <c r="J32" s="428" t="s">
        <v>48</v>
      </c>
      <c r="K32" s="428" t="s">
        <v>53</v>
      </c>
      <c r="L32" s="5">
        <v>4</v>
      </c>
      <c r="M32" s="358">
        <v>17697</v>
      </c>
      <c r="N32" s="373">
        <v>1</v>
      </c>
      <c r="O32" s="358"/>
      <c r="P32" s="358">
        <v>4.7300000000000004</v>
      </c>
      <c r="Q32" s="358">
        <f t="shared" si="9"/>
        <v>83706.810000000012</v>
      </c>
      <c r="R32" s="415">
        <f t="shared" si="10"/>
        <v>0</v>
      </c>
      <c r="S32" s="370">
        <f t="shared" si="11"/>
        <v>0</v>
      </c>
      <c r="T32" s="53">
        <v>1.5</v>
      </c>
      <c r="U32" s="370">
        <f t="shared" si="0"/>
        <v>125560.21500000003</v>
      </c>
      <c r="V32" s="416">
        <f t="shared" si="12"/>
        <v>0.1</v>
      </c>
      <c r="W32" s="53">
        <f t="shared" si="8"/>
        <v>12556.021500000003</v>
      </c>
      <c r="X32" s="417">
        <v>0.4</v>
      </c>
      <c r="Y32" s="53">
        <f t="shared" si="6"/>
        <v>7078.8</v>
      </c>
      <c r="Z32" s="53"/>
      <c r="AA32" s="53"/>
      <c r="AB32" s="53">
        <f t="shared" si="7"/>
        <v>145195.03650000002</v>
      </c>
      <c r="AD32" s="9"/>
    </row>
    <row r="33" spans="1:30" s="6" customFormat="1" ht="22.5" customHeight="1" x14ac:dyDescent="0.25">
      <c r="A33" s="557">
        <v>19</v>
      </c>
      <c r="B33" s="553" t="s">
        <v>45</v>
      </c>
      <c r="C33" s="426" t="s">
        <v>394</v>
      </c>
      <c r="D33" s="428" t="s">
        <v>28</v>
      </c>
      <c r="E33" s="428" t="s">
        <v>482</v>
      </c>
      <c r="F33" s="428"/>
      <c r="G33" s="428">
        <v>1</v>
      </c>
      <c r="H33" s="428"/>
      <c r="I33" s="557">
        <v>1</v>
      </c>
      <c r="J33" s="428" t="s">
        <v>48</v>
      </c>
      <c r="K33" s="418" t="s">
        <v>53</v>
      </c>
      <c r="L33" s="5">
        <v>2</v>
      </c>
      <c r="M33" s="358">
        <v>17697</v>
      </c>
      <c r="N33" s="373">
        <v>0.75</v>
      </c>
      <c r="O33" s="358"/>
      <c r="P33" s="428">
        <v>4.8600000000000003</v>
      </c>
      <c r="Q33" s="358">
        <f t="shared" si="9"/>
        <v>64505.56500000001</v>
      </c>
      <c r="R33" s="415">
        <f t="shared" si="10"/>
        <v>0</v>
      </c>
      <c r="S33" s="370">
        <f t="shared" si="11"/>
        <v>0</v>
      </c>
      <c r="T33" s="53">
        <v>1.5</v>
      </c>
      <c r="U33" s="370">
        <f t="shared" si="0"/>
        <v>96758.347500000018</v>
      </c>
      <c r="V33" s="416">
        <f t="shared" si="12"/>
        <v>0.1</v>
      </c>
      <c r="W33" s="53">
        <f t="shared" si="8"/>
        <v>9675.8347500000018</v>
      </c>
      <c r="X33" s="417">
        <v>0.4</v>
      </c>
      <c r="Y33" s="53">
        <f t="shared" si="6"/>
        <v>5309.1</v>
      </c>
      <c r="Z33" s="53"/>
      <c r="AA33" s="53"/>
      <c r="AB33" s="53">
        <f t="shared" si="7"/>
        <v>111743.28225000002</v>
      </c>
      <c r="AD33" s="9"/>
    </row>
    <row r="34" spans="1:30" s="6" customFormat="1" ht="16.5" customHeight="1" x14ac:dyDescent="0.25">
      <c r="A34" s="558"/>
      <c r="B34" s="554"/>
      <c r="C34" s="426" t="s">
        <v>58</v>
      </c>
      <c r="D34" s="428" t="s">
        <v>28</v>
      </c>
      <c r="E34" s="428" t="s">
        <v>482</v>
      </c>
      <c r="F34" s="428"/>
      <c r="G34" s="428" t="s">
        <v>455</v>
      </c>
      <c r="H34" s="428"/>
      <c r="I34" s="558"/>
      <c r="J34" s="428" t="s">
        <v>48</v>
      </c>
      <c r="K34" s="418" t="s">
        <v>53</v>
      </c>
      <c r="L34" s="5">
        <v>2</v>
      </c>
      <c r="M34" s="358">
        <v>17697</v>
      </c>
      <c r="N34" s="373">
        <v>0.5</v>
      </c>
      <c r="O34" s="358"/>
      <c r="P34" s="428">
        <v>4.38</v>
      </c>
      <c r="Q34" s="358">
        <f t="shared" si="9"/>
        <v>38756.43</v>
      </c>
      <c r="R34" s="415"/>
      <c r="S34" s="370"/>
      <c r="T34" s="53">
        <v>1.5</v>
      </c>
      <c r="U34" s="370">
        <f t="shared" si="0"/>
        <v>58134.645000000004</v>
      </c>
      <c r="V34" s="416">
        <v>0.1</v>
      </c>
      <c r="W34" s="53">
        <f t="shared" si="8"/>
        <v>5813.464500000001</v>
      </c>
      <c r="X34" s="417">
        <v>0.4</v>
      </c>
      <c r="Y34" s="53">
        <f t="shared" si="6"/>
        <v>3539.4</v>
      </c>
      <c r="Z34" s="53"/>
      <c r="AA34" s="53"/>
      <c r="AB34" s="53">
        <f t="shared" si="7"/>
        <v>67487.5095</v>
      </c>
      <c r="AD34" s="9"/>
    </row>
    <row r="35" spans="1:30" s="6" customFormat="1" ht="23.25" customHeight="1" x14ac:dyDescent="0.25">
      <c r="A35" s="428">
        <v>20</v>
      </c>
      <c r="B35" s="430" t="s">
        <v>355</v>
      </c>
      <c r="C35" s="426" t="s">
        <v>395</v>
      </c>
      <c r="D35" s="428" t="s">
        <v>28</v>
      </c>
      <c r="E35" s="428" t="s">
        <v>483</v>
      </c>
      <c r="F35" s="428"/>
      <c r="G35" s="428" t="s">
        <v>28</v>
      </c>
      <c r="H35" s="428"/>
      <c r="I35" s="428">
        <v>1</v>
      </c>
      <c r="J35" s="428" t="s">
        <v>48</v>
      </c>
      <c r="K35" s="428" t="s">
        <v>53</v>
      </c>
      <c r="L35" s="5">
        <v>1</v>
      </c>
      <c r="M35" s="358">
        <v>17697</v>
      </c>
      <c r="N35" s="373">
        <v>0.08</v>
      </c>
      <c r="O35" s="358"/>
      <c r="P35" s="428">
        <v>5.08</v>
      </c>
      <c r="Q35" s="358">
        <f t="shared" si="9"/>
        <v>7192.0607999999993</v>
      </c>
      <c r="R35" s="415">
        <f t="shared" ref="R35:R54" si="13">IF(H35&gt;0,25%,0)</f>
        <v>0</v>
      </c>
      <c r="S35" s="370">
        <f t="shared" ref="S35:S67" si="14">ROUND((Q35+W35)*R35,2)</f>
        <v>0</v>
      </c>
      <c r="T35" s="53">
        <v>1.5</v>
      </c>
      <c r="U35" s="370">
        <f t="shared" si="0"/>
        <v>10788.091199999999</v>
      </c>
      <c r="V35" s="416">
        <f t="shared" si="12"/>
        <v>0.1</v>
      </c>
      <c r="W35" s="53">
        <f t="shared" si="8"/>
        <v>1078.8091199999999</v>
      </c>
      <c r="X35" s="417">
        <v>0.4</v>
      </c>
      <c r="Y35" s="53">
        <f t="shared" si="6"/>
        <v>566.30399999999997</v>
      </c>
      <c r="Z35" s="53"/>
      <c r="AA35" s="53"/>
      <c r="AB35" s="53">
        <f t="shared" si="7"/>
        <v>12433.204319999999</v>
      </c>
      <c r="AD35" s="9"/>
    </row>
    <row r="36" spans="1:30" s="6" customFormat="1" ht="25.5" customHeight="1" x14ac:dyDescent="0.25">
      <c r="A36" s="428">
        <v>21</v>
      </c>
      <c r="B36" s="430" t="s">
        <v>397</v>
      </c>
      <c r="C36" s="426" t="s">
        <v>398</v>
      </c>
      <c r="D36" s="428" t="s">
        <v>28</v>
      </c>
      <c r="E36" s="428" t="s">
        <v>484</v>
      </c>
      <c r="F36" s="428"/>
      <c r="G36" s="428" t="s">
        <v>455</v>
      </c>
      <c r="H36" s="428"/>
      <c r="I36" s="428">
        <v>1</v>
      </c>
      <c r="J36" s="428" t="s">
        <v>48</v>
      </c>
      <c r="K36" s="428" t="s">
        <v>53</v>
      </c>
      <c r="L36" s="5">
        <v>4</v>
      </c>
      <c r="M36" s="358">
        <v>17697</v>
      </c>
      <c r="N36" s="375" t="s">
        <v>431</v>
      </c>
      <c r="O36" s="358"/>
      <c r="P36" s="428">
        <v>4.38</v>
      </c>
      <c r="Q36" s="358">
        <f t="shared" si="9"/>
        <v>4883.3101800000004</v>
      </c>
      <c r="R36" s="415">
        <f t="shared" si="13"/>
        <v>0</v>
      </c>
      <c r="S36" s="370">
        <f t="shared" si="14"/>
        <v>0</v>
      </c>
      <c r="T36" s="53">
        <v>1.5</v>
      </c>
      <c r="U36" s="370">
        <f t="shared" si="0"/>
        <v>7324.9652700000006</v>
      </c>
      <c r="V36" s="416">
        <f t="shared" si="12"/>
        <v>0.1</v>
      </c>
      <c r="W36" s="53">
        <f t="shared" si="8"/>
        <v>732.49652700000013</v>
      </c>
      <c r="X36" s="417">
        <v>0.4</v>
      </c>
      <c r="Y36" s="53">
        <f t="shared" si="6"/>
        <v>445.96440000000001</v>
      </c>
      <c r="Z36" s="53"/>
      <c r="AA36" s="53"/>
      <c r="AB36" s="53">
        <f t="shared" si="7"/>
        <v>8503.4261970000007</v>
      </c>
      <c r="AD36" s="9"/>
    </row>
    <row r="37" spans="1:30" s="6" customFormat="1" ht="15" x14ac:dyDescent="0.25">
      <c r="A37" s="428">
        <v>22</v>
      </c>
      <c r="B37" s="430" t="s">
        <v>273</v>
      </c>
      <c r="C37" s="426" t="s">
        <v>392</v>
      </c>
      <c r="D37" s="428" t="s">
        <v>28</v>
      </c>
      <c r="E37" s="428" t="s">
        <v>485</v>
      </c>
      <c r="F37" s="428"/>
      <c r="G37" s="375" t="s">
        <v>455</v>
      </c>
      <c r="H37" s="375"/>
      <c r="I37" s="375" t="s">
        <v>65</v>
      </c>
      <c r="J37" s="376" t="s">
        <v>48</v>
      </c>
      <c r="K37" s="376" t="s">
        <v>53</v>
      </c>
      <c r="L37" s="5">
        <v>4</v>
      </c>
      <c r="M37" s="358">
        <v>17697</v>
      </c>
      <c r="N37" s="373">
        <v>1</v>
      </c>
      <c r="O37" s="358"/>
      <c r="P37" s="358">
        <v>4.59</v>
      </c>
      <c r="Q37" s="358">
        <f t="shared" si="9"/>
        <v>81229.23</v>
      </c>
      <c r="R37" s="415">
        <f t="shared" si="13"/>
        <v>0</v>
      </c>
      <c r="S37" s="370">
        <f t="shared" si="14"/>
        <v>0</v>
      </c>
      <c r="T37" s="53">
        <v>1.5</v>
      </c>
      <c r="U37" s="370">
        <f t="shared" si="0"/>
        <v>121843.845</v>
      </c>
      <c r="V37" s="416">
        <f t="shared" si="12"/>
        <v>0.1</v>
      </c>
      <c r="W37" s="53">
        <f t="shared" si="8"/>
        <v>12184.3845</v>
      </c>
      <c r="X37" s="417">
        <v>0.4</v>
      </c>
      <c r="Y37" s="53">
        <f t="shared" si="6"/>
        <v>7078.8</v>
      </c>
      <c r="Z37" s="53"/>
      <c r="AA37" s="53"/>
      <c r="AB37" s="53">
        <f t="shared" si="7"/>
        <v>141107.0295</v>
      </c>
      <c r="AD37" s="9"/>
    </row>
    <row r="38" spans="1:30" s="6" customFormat="1" ht="15" x14ac:dyDescent="0.25">
      <c r="A38" s="428">
        <v>23</v>
      </c>
      <c r="B38" s="430" t="s">
        <v>454</v>
      </c>
      <c r="C38" s="426" t="s">
        <v>392</v>
      </c>
      <c r="D38" s="428" t="s">
        <v>28</v>
      </c>
      <c r="E38" s="428" t="s">
        <v>486</v>
      </c>
      <c r="F38" s="428"/>
      <c r="G38" s="375" t="s">
        <v>316</v>
      </c>
      <c r="H38" s="375"/>
      <c r="I38" s="375" t="s">
        <v>65</v>
      </c>
      <c r="J38" s="376" t="s">
        <v>48</v>
      </c>
      <c r="K38" s="376" t="s">
        <v>53</v>
      </c>
      <c r="L38" s="5">
        <v>3</v>
      </c>
      <c r="M38" s="358">
        <v>17697</v>
      </c>
      <c r="N38" s="373">
        <v>1</v>
      </c>
      <c r="O38" s="358"/>
      <c r="P38" s="358">
        <v>4.59</v>
      </c>
      <c r="Q38" s="358">
        <f t="shared" si="9"/>
        <v>81229.23</v>
      </c>
      <c r="R38" s="415">
        <f t="shared" si="13"/>
        <v>0</v>
      </c>
      <c r="S38" s="370">
        <f t="shared" si="14"/>
        <v>0</v>
      </c>
      <c r="T38" s="53">
        <v>1.5</v>
      </c>
      <c r="U38" s="370">
        <f t="shared" si="0"/>
        <v>121843.845</v>
      </c>
      <c r="V38" s="416">
        <f t="shared" si="12"/>
        <v>0.1</v>
      </c>
      <c r="W38" s="53">
        <f t="shared" si="8"/>
        <v>12184.3845</v>
      </c>
      <c r="X38" s="417">
        <v>0.4</v>
      </c>
      <c r="Y38" s="53">
        <f t="shared" si="6"/>
        <v>7078.8</v>
      </c>
      <c r="Z38" s="53"/>
      <c r="AA38" s="53"/>
      <c r="AB38" s="53">
        <f t="shared" si="7"/>
        <v>141107.0295</v>
      </c>
      <c r="AD38" s="9"/>
    </row>
    <row r="39" spans="1:30" s="6" customFormat="1" ht="15" x14ac:dyDescent="0.25">
      <c r="A39" s="428">
        <v>24</v>
      </c>
      <c r="B39" s="430" t="s">
        <v>275</v>
      </c>
      <c r="C39" s="426" t="s">
        <v>392</v>
      </c>
      <c r="D39" s="428" t="s">
        <v>28</v>
      </c>
      <c r="E39" s="428" t="s">
        <v>487</v>
      </c>
      <c r="F39" s="428"/>
      <c r="G39" s="375" t="s">
        <v>316</v>
      </c>
      <c r="H39" s="375"/>
      <c r="I39" s="375" t="s">
        <v>65</v>
      </c>
      <c r="J39" s="376" t="s">
        <v>48</v>
      </c>
      <c r="K39" s="376" t="s">
        <v>53</v>
      </c>
      <c r="L39" s="5">
        <v>3</v>
      </c>
      <c r="M39" s="358">
        <v>17697</v>
      </c>
      <c r="N39" s="373">
        <v>1</v>
      </c>
      <c r="O39" s="358"/>
      <c r="P39" s="358">
        <v>5.16</v>
      </c>
      <c r="Q39" s="358">
        <f t="shared" si="9"/>
        <v>91316.52</v>
      </c>
      <c r="R39" s="415">
        <f t="shared" si="13"/>
        <v>0</v>
      </c>
      <c r="S39" s="370">
        <f t="shared" si="14"/>
        <v>0</v>
      </c>
      <c r="T39" s="53">
        <v>1.5</v>
      </c>
      <c r="U39" s="370">
        <f t="shared" si="0"/>
        <v>136974.78</v>
      </c>
      <c r="V39" s="416">
        <f t="shared" si="12"/>
        <v>0.1</v>
      </c>
      <c r="W39" s="53">
        <f t="shared" si="8"/>
        <v>13697.478000000001</v>
      </c>
      <c r="X39" s="417">
        <v>0.4</v>
      </c>
      <c r="Y39" s="53">
        <f t="shared" si="6"/>
        <v>7078.8</v>
      </c>
      <c r="Z39" s="53"/>
      <c r="AA39" s="53"/>
      <c r="AB39" s="53">
        <f t="shared" si="7"/>
        <v>157751.05799999999</v>
      </c>
      <c r="AD39" s="9"/>
    </row>
    <row r="40" spans="1:30" s="6" customFormat="1" ht="15" x14ac:dyDescent="0.25">
      <c r="A40" s="428">
        <v>25</v>
      </c>
      <c r="B40" s="430" t="s">
        <v>345</v>
      </c>
      <c r="C40" s="426" t="s">
        <v>392</v>
      </c>
      <c r="D40" s="428" t="s">
        <v>28</v>
      </c>
      <c r="E40" s="428" t="s">
        <v>488</v>
      </c>
      <c r="F40" s="428"/>
      <c r="G40" s="428" t="s">
        <v>455</v>
      </c>
      <c r="H40" s="428"/>
      <c r="I40" s="428">
        <v>1</v>
      </c>
      <c r="J40" s="376" t="s">
        <v>48</v>
      </c>
      <c r="K40" s="376" t="s">
        <v>53</v>
      </c>
      <c r="L40" s="5">
        <v>4</v>
      </c>
      <c r="M40" s="358">
        <v>17697</v>
      </c>
      <c r="N40" s="373">
        <v>1</v>
      </c>
      <c r="O40" s="375"/>
      <c r="P40" s="358">
        <v>4.67</v>
      </c>
      <c r="Q40" s="358">
        <f t="shared" si="9"/>
        <v>82644.990000000005</v>
      </c>
      <c r="R40" s="415">
        <f t="shared" si="13"/>
        <v>0</v>
      </c>
      <c r="S40" s="370">
        <f t="shared" si="14"/>
        <v>0</v>
      </c>
      <c r="T40" s="53">
        <v>1.5</v>
      </c>
      <c r="U40" s="370">
        <f t="shared" si="0"/>
        <v>123967.48500000002</v>
      </c>
      <c r="V40" s="416">
        <f t="shared" si="12"/>
        <v>0.1</v>
      </c>
      <c r="W40" s="53">
        <f t="shared" si="8"/>
        <v>12396.748500000002</v>
      </c>
      <c r="X40" s="417">
        <v>0.4</v>
      </c>
      <c r="Y40" s="53">
        <f t="shared" si="6"/>
        <v>7078.8</v>
      </c>
      <c r="Z40" s="417">
        <v>0.3</v>
      </c>
      <c r="AA40" s="53">
        <f>U40*Z40</f>
        <v>37190.245500000005</v>
      </c>
      <c r="AB40" s="53">
        <f>U40+W40+Y40+AA40</f>
        <v>180633.27900000004</v>
      </c>
      <c r="AD40" s="9"/>
    </row>
    <row r="41" spans="1:30" s="6" customFormat="1" ht="15" x14ac:dyDescent="0.25">
      <c r="A41" s="428">
        <v>26</v>
      </c>
      <c r="B41" s="430" t="s">
        <v>404</v>
      </c>
      <c r="C41" s="426" t="s">
        <v>392</v>
      </c>
      <c r="D41" s="428" t="s">
        <v>28</v>
      </c>
      <c r="E41" s="428" t="s">
        <v>489</v>
      </c>
      <c r="F41" s="428"/>
      <c r="G41" s="428" t="s">
        <v>455</v>
      </c>
      <c r="H41" s="428"/>
      <c r="I41" s="428">
        <v>1</v>
      </c>
      <c r="J41" s="376" t="s">
        <v>48</v>
      </c>
      <c r="K41" s="376" t="s">
        <v>53</v>
      </c>
      <c r="L41" s="5">
        <v>4</v>
      </c>
      <c r="M41" s="358">
        <v>17697</v>
      </c>
      <c r="N41" s="373">
        <v>1</v>
      </c>
      <c r="O41" s="375"/>
      <c r="P41" s="358">
        <v>4.1399999999999997</v>
      </c>
      <c r="Q41" s="358">
        <f t="shared" si="9"/>
        <v>73265.579999999987</v>
      </c>
      <c r="R41" s="415">
        <f t="shared" si="13"/>
        <v>0</v>
      </c>
      <c r="S41" s="370">
        <f t="shared" si="14"/>
        <v>0</v>
      </c>
      <c r="T41" s="53">
        <v>1.5</v>
      </c>
      <c r="U41" s="370">
        <f t="shared" si="0"/>
        <v>109898.36999999998</v>
      </c>
      <c r="V41" s="416">
        <f t="shared" si="12"/>
        <v>0.1</v>
      </c>
      <c r="W41" s="53">
        <f t="shared" si="8"/>
        <v>10989.837</v>
      </c>
      <c r="X41" s="417">
        <v>0.4</v>
      </c>
      <c r="Y41" s="53">
        <f t="shared" si="6"/>
        <v>7078.8</v>
      </c>
      <c r="Z41" s="53"/>
      <c r="AA41" s="53"/>
      <c r="AB41" s="53">
        <f t="shared" si="7"/>
        <v>127967.00699999998</v>
      </c>
      <c r="AD41" s="9"/>
    </row>
    <row r="42" spans="1:30" s="6" customFormat="1" ht="15" x14ac:dyDescent="0.25">
      <c r="A42" s="428">
        <v>27</v>
      </c>
      <c r="B42" s="430" t="s">
        <v>405</v>
      </c>
      <c r="C42" s="426" t="s">
        <v>430</v>
      </c>
      <c r="D42" s="428" t="s">
        <v>28</v>
      </c>
      <c r="E42" s="428" t="s">
        <v>490</v>
      </c>
      <c r="F42" s="428"/>
      <c r="G42" s="428">
        <v>2</v>
      </c>
      <c r="H42" s="428"/>
      <c r="I42" s="428">
        <v>1</v>
      </c>
      <c r="J42" s="376" t="s">
        <v>48</v>
      </c>
      <c r="K42" s="376" t="s">
        <v>53</v>
      </c>
      <c r="L42" s="5">
        <v>3</v>
      </c>
      <c r="M42" s="358">
        <v>17697</v>
      </c>
      <c r="N42" s="373">
        <v>1</v>
      </c>
      <c r="O42" s="379"/>
      <c r="P42" s="358">
        <v>4.9000000000000004</v>
      </c>
      <c r="Q42" s="358">
        <f t="shared" si="9"/>
        <v>86715.3</v>
      </c>
      <c r="R42" s="415">
        <f t="shared" si="13"/>
        <v>0</v>
      </c>
      <c r="S42" s="370">
        <f t="shared" si="14"/>
        <v>0</v>
      </c>
      <c r="T42" s="53">
        <v>1.5</v>
      </c>
      <c r="U42" s="370">
        <f t="shared" si="0"/>
        <v>130072.95000000001</v>
      </c>
      <c r="V42" s="416">
        <f t="shared" si="12"/>
        <v>0.1</v>
      </c>
      <c r="W42" s="53">
        <f t="shared" si="8"/>
        <v>13007.295000000002</v>
      </c>
      <c r="X42" s="417">
        <v>0.4</v>
      </c>
      <c r="Y42" s="53">
        <f t="shared" si="6"/>
        <v>7078.8</v>
      </c>
      <c r="Z42" s="53"/>
      <c r="AA42" s="53"/>
      <c r="AB42" s="53">
        <f t="shared" si="7"/>
        <v>150159.04500000001</v>
      </c>
      <c r="AD42" s="9"/>
    </row>
    <row r="43" spans="1:30" s="6" customFormat="1" ht="15" x14ac:dyDescent="0.25">
      <c r="A43" s="428">
        <v>28</v>
      </c>
      <c r="B43" s="430" t="s">
        <v>407</v>
      </c>
      <c r="C43" s="426" t="s">
        <v>430</v>
      </c>
      <c r="D43" s="428" t="s">
        <v>28</v>
      </c>
      <c r="E43" s="428" t="s">
        <v>491</v>
      </c>
      <c r="F43" s="428"/>
      <c r="G43" s="428" t="s">
        <v>455</v>
      </c>
      <c r="H43" s="428"/>
      <c r="I43" s="428">
        <v>1</v>
      </c>
      <c r="J43" s="376" t="s">
        <v>48</v>
      </c>
      <c r="K43" s="376" t="s">
        <v>53</v>
      </c>
      <c r="L43" s="5">
        <v>4</v>
      </c>
      <c r="M43" s="358">
        <v>17697</v>
      </c>
      <c r="N43" s="373">
        <v>1</v>
      </c>
      <c r="O43" s="379"/>
      <c r="P43" s="358">
        <v>4.33</v>
      </c>
      <c r="Q43" s="358">
        <f t="shared" si="9"/>
        <v>76628.009999999995</v>
      </c>
      <c r="R43" s="415">
        <f t="shared" si="13"/>
        <v>0</v>
      </c>
      <c r="S43" s="370">
        <f t="shared" si="14"/>
        <v>0</v>
      </c>
      <c r="T43" s="53">
        <v>1.5</v>
      </c>
      <c r="U43" s="370">
        <f t="shared" si="0"/>
        <v>114942.01499999998</v>
      </c>
      <c r="V43" s="416">
        <f t="shared" si="12"/>
        <v>0.1</v>
      </c>
      <c r="W43" s="53">
        <f t="shared" si="8"/>
        <v>11494.201499999999</v>
      </c>
      <c r="X43" s="417">
        <v>0.4</v>
      </c>
      <c r="Y43" s="53">
        <f t="shared" si="6"/>
        <v>7078.8</v>
      </c>
      <c r="Z43" s="53"/>
      <c r="AA43" s="53"/>
      <c r="AB43" s="53">
        <f t="shared" si="7"/>
        <v>133515.01649999997</v>
      </c>
      <c r="AD43" s="9"/>
    </row>
    <row r="44" spans="1:30" s="6" customFormat="1" ht="15" x14ac:dyDescent="0.25">
      <c r="A44" s="454">
        <v>29</v>
      </c>
      <c r="B44" s="453" t="s">
        <v>356</v>
      </c>
      <c r="C44" s="426" t="s">
        <v>409</v>
      </c>
      <c r="D44" s="428" t="s">
        <v>28</v>
      </c>
      <c r="E44" s="428" t="s">
        <v>492</v>
      </c>
      <c r="F44" s="428"/>
      <c r="G44" s="428">
        <v>2</v>
      </c>
      <c r="H44" s="428"/>
      <c r="I44" s="454">
        <v>1</v>
      </c>
      <c r="J44" s="376" t="s">
        <v>48</v>
      </c>
      <c r="K44" s="376" t="s">
        <v>53</v>
      </c>
      <c r="L44" s="5">
        <v>3</v>
      </c>
      <c r="M44" s="358">
        <v>17697</v>
      </c>
      <c r="N44" s="373">
        <v>1</v>
      </c>
      <c r="O44" s="375"/>
      <c r="P44" s="358">
        <v>4.66</v>
      </c>
      <c r="Q44" s="358">
        <f t="shared" si="9"/>
        <v>82468.02</v>
      </c>
      <c r="R44" s="415">
        <f t="shared" si="13"/>
        <v>0</v>
      </c>
      <c r="S44" s="370">
        <f t="shared" si="14"/>
        <v>0</v>
      </c>
      <c r="T44" s="53">
        <v>1.5</v>
      </c>
      <c r="U44" s="370">
        <f t="shared" si="0"/>
        <v>123702.03</v>
      </c>
      <c r="V44" s="416">
        <f t="shared" si="12"/>
        <v>0.1</v>
      </c>
      <c r="W44" s="53">
        <f t="shared" si="8"/>
        <v>12370.203000000001</v>
      </c>
      <c r="X44" s="417">
        <v>0.4</v>
      </c>
      <c r="Y44" s="53">
        <f t="shared" si="6"/>
        <v>7078.8</v>
      </c>
      <c r="Z44" s="53"/>
      <c r="AA44" s="53"/>
      <c r="AB44" s="53">
        <f t="shared" si="7"/>
        <v>143151.033</v>
      </c>
      <c r="AD44" s="13"/>
    </row>
    <row r="45" spans="1:30" s="6" customFormat="1" ht="26.25" customHeight="1" x14ac:dyDescent="0.25">
      <c r="A45" s="428">
        <v>30</v>
      </c>
      <c r="B45" s="430" t="s">
        <v>332</v>
      </c>
      <c r="C45" s="426" t="s">
        <v>411</v>
      </c>
      <c r="D45" s="428" t="s">
        <v>28</v>
      </c>
      <c r="E45" s="428" t="s">
        <v>493</v>
      </c>
      <c r="F45" s="428"/>
      <c r="G45" s="375" t="s">
        <v>65</v>
      </c>
      <c r="H45" s="375"/>
      <c r="I45" s="375" t="s">
        <v>65</v>
      </c>
      <c r="J45" s="376" t="s">
        <v>48</v>
      </c>
      <c r="K45" s="376" t="s">
        <v>53</v>
      </c>
      <c r="L45" s="5">
        <v>2</v>
      </c>
      <c r="M45" s="358">
        <v>17697</v>
      </c>
      <c r="N45" s="373">
        <v>1.25</v>
      </c>
      <c r="O45" s="5"/>
      <c r="P45" s="358">
        <v>4.79</v>
      </c>
      <c r="Q45" s="358">
        <f t="shared" si="9"/>
        <v>105960.78750000001</v>
      </c>
      <c r="R45" s="415">
        <f t="shared" si="13"/>
        <v>0</v>
      </c>
      <c r="S45" s="370">
        <f t="shared" si="14"/>
        <v>0</v>
      </c>
      <c r="T45" s="53">
        <v>1.5</v>
      </c>
      <c r="U45" s="370">
        <f t="shared" si="0"/>
        <v>158941.18125000002</v>
      </c>
      <c r="V45" s="416">
        <f t="shared" si="12"/>
        <v>0.1</v>
      </c>
      <c r="W45" s="53">
        <f t="shared" si="8"/>
        <v>15894.118125000003</v>
      </c>
      <c r="X45" s="417">
        <v>0.4</v>
      </c>
      <c r="Y45" s="53">
        <f t="shared" si="6"/>
        <v>8848.5</v>
      </c>
      <c r="Z45" s="53"/>
      <c r="AA45" s="53"/>
      <c r="AB45" s="53">
        <f t="shared" si="7"/>
        <v>183683.79937500003</v>
      </c>
      <c r="AD45" s="13"/>
    </row>
    <row r="46" spans="1:30" s="6" customFormat="1" ht="24" customHeight="1" x14ac:dyDescent="0.25">
      <c r="A46" s="428">
        <v>31</v>
      </c>
      <c r="B46" s="430" t="s">
        <v>413</v>
      </c>
      <c r="C46" s="426" t="s">
        <v>99</v>
      </c>
      <c r="D46" s="428" t="s">
        <v>118</v>
      </c>
      <c r="E46" s="428" t="s">
        <v>489</v>
      </c>
      <c r="F46" s="428"/>
      <c r="G46" s="375" t="s">
        <v>455</v>
      </c>
      <c r="H46" s="375"/>
      <c r="I46" s="375" t="s">
        <v>65</v>
      </c>
      <c r="J46" s="376" t="s">
        <v>48</v>
      </c>
      <c r="K46" s="376" t="s">
        <v>49</v>
      </c>
      <c r="L46" s="5">
        <v>4</v>
      </c>
      <c r="M46" s="358">
        <v>17697</v>
      </c>
      <c r="N46" s="373">
        <v>1.25</v>
      </c>
      <c r="O46" s="5"/>
      <c r="P46" s="358">
        <v>3.36</v>
      </c>
      <c r="Q46" s="358">
        <f t="shared" si="9"/>
        <v>74327.399999999994</v>
      </c>
      <c r="R46" s="415">
        <f t="shared" si="13"/>
        <v>0</v>
      </c>
      <c r="S46" s="370">
        <f t="shared" si="14"/>
        <v>0</v>
      </c>
      <c r="T46" s="53">
        <v>1.5</v>
      </c>
      <c r="U46" s="370">
        <f t="shared" si="0"/>
        <v>111491.09999999999</v>
      </c>
      <c r="V46" s="416">
        <f t="shared" si="12"/>
        <v>0.1</v>
      </c>
      <c r="W46" s="53">
        <f t="shared" si="8"/>
        <v>11149.11</v>
      </c>
      <c r="X46" s="417">
        <v>0.4</v>
      </c>
      <c r="Y46" s="53">
        <f t="shared" si="6"/>
        <v>8848.5</v>
      </c>
      <c r="Z46" s="53"/>
      <c r="AA46" s="53"/>
      <c r="AB46" s="53">
        <f t="shared" si="7"/>
        <v>131488.71</v>
      </c>
      <c r="AD46" s="13"/>
    </row>
    <row r="47" spans="1:30" s="6" customFormat="1" ht="27" customHeight="1" x14ac:dyDescent="0.25">
      <c r="A47" s="428">
        <v>32</v>
      </c>
      <c r="B47" s="430" t="s">
        <v>457</v>
      </c>
      <c r="C47" s="426" t="s">
        <v>92</v>
      </c>
      <c r="D47" s="428" t="s">
        <v>28</v>
      </c>
      <c r="E47" s="428" t="s">
        <v>494</v>
      </c>
      <c r="F47" s="428"/>
      <c r="G47" s="428"/>
      <c r="H47" s="428"/>
      <c r="I47" s="428">
        <v>1</v>
      </c>
      <c r="J47" s="376" t="s">
        <v>94</v>
      </c>
      <c r="K47" s="376" t="s">
        <v>94</v>
      </c>
      <c r="L47" s="5">
        <v>1</v>
      </c>
      <c r="M47" s="358">
        <v>17697</v>
      </c>
      <c r="N47" s="373">
        <v>0.25</v>
      </c>
      <c r="O47" s="375"/>
      <c r="P47" s="358">
        <v>2.98</v>
      </c>
      <c r="Q47" s="358">
        <f t="shared" si="9"/>
        <v>13184.264999999999</v>
      </c>
      <c r="R47" s="415">
        <f t="shared" si="13"/>
        <v>0</v>
      </c>
      <c r="S47" s="370">
        <f t="shared" si="14"/>
        <v>0</v>
      </c>
      <c r="T47" s="370"/>
      <c r="U47" s="370">
        <f t="shared" si="0"/>
        <v>0</v>
      </c>
      <c r="V47" s="416">
        <f t="shared" si="12"/>
        <v>0.1</v>
      </c>
      <c r="W47" s="53">
        <f>Q47*V47</f>
        <v>1318.4265</v>
      </c>
      <c r="X47" s="417"/>
      <c r="Y47" s="53">
        <f t="shared" ref="Y47:Y67" si="15">M47*X47*N47</f>
        <v>0</v>
      </c>
      <c r="Z47" s="53"/>
      <c r="AA47" s="53"/>
      <c r="AB47" s="53">
        <f>Q47+W47</f>
        <v>14502.691499999999</v>
      </c>
      <c r="AD47" s="9"/>
    </row>
    <row r="48" spans="1:30" s="6" customFormat="1" ht="15" x14ac:dyDescent="0.25">
      <c r="A48" s="428">
        <v>33</v>
      </c>
      <c r="B48" s="430" t="s">
        <v>338</v>
      </c>
      <c r="C48" s="426" t="s">
        <v>95</v>
      </c>
      <c r="D48" s="428" t="s">
        <v>35</v>
      </c>
      <c r="E48" s="375" t="s">
        <v>495</v>
      </c>
      <c r="F48" s="375"/>
      <c r="G48" s="375"/>
      <c r="H48" s="375"/>
      <c r="I48" s="375" t="s">
        <v>65</v>
      </c>
      <c r="J48" s="376"/>
      <c r="K48" s="5" t="s">
        <v>94</v>
      </c>
      <c r="L48" s="5">
        <v>1</v>
      </c>
      <c r="M48" s="358">
        <v>17697</v>
      </c>
      <c r="N48" s="373">
        <v>1.25</v>
      </c>
      <c r="O48" s="375"/>
      <c r="P48" s="358">
        <v>3.04</v>
      </c>
      <c r="Q48" s="358">
        <f t="shared" si="9"/>
        <v>67248.599999999991</v>
      </c>
      <c r="R48" s="415">
        <f t="shared" si="13"/>
        <v>0</v>
      </c>
      <c r="S48" s="370">
        <f t="shared" si="14"/>
        <v>0</v>
      </c>
      <c r="T48" s="370"/>
      <c r="U48" s="370">
        <f t="shared" si="0"/>
        <v>0</v>
      </c>
      <c r="V48" s="416">
        <f t="shared" si="12"/>
        <v>0.1</v>
      </c>
      <c r="W48" s="53">
        <f>Q48*V48</f>
        <v>6724.86</v>
      </c>
      <c r="X48" s="417">
        <v>0.7</v>
      </c>
      <c r="Y48" s="53">
        <f t="shared" si="15"/>
        <v>15484.875</v>
      </c>
      <c r="Z48" s="53"/>
      <c r="AA48" s="53"/>
      <c r="AB48" s="53">
        <f>Q48+W48+Y48</f>
        <v>89458.334999999992</v>
      </c>
      <c r="AD48" s="9"/>
    </row>
    <row r="49" spans="1:36" s="6" customFormat="1" ht="15" x14ac:dyDescent="0.25">
      <c r="A49" s="428">
        <v>34</v>
      </c>
      <c r="B49" s="430" t="s">
        <v>339</v>
      </c>
      <c r="C49" s="426" t="s">
        <v>95</v>
      </c>
      <c r="D49" s="428" t="s">
        <v>35</v>
      </c>
      <c r="E49" s="375" t="s">
        <v>406</v>
      </c>
      <c r="F49" s="375"/>
      <c r="G49" s="375"/>
      <c r="H49" s="375"/>
      <c r="I49" s="375" t="s">
        <v>65</v>
      </c>
      <c r="J49" s="376"/>
      <c r="K49" s="5" t="s">
        <v>94</v>
      </c>
      <c r="L49" s="5">
        <v>1</v>
      </c>
      <c r="M49" s="358">
        <v>17697</v>
      </c>
      <c r="N49" s="373">
        <v>1.25</v>
      </c>
      <c r="O49" s="375"/>
      <c r="P49" s="358">
        <v>3.16</v>
      </c>
      <c r="Q49" s="358">
        <f t="shared" si="9"/>
        <v>69903.150000000009</v>
      </c>
      <c r="R49" s="415">
        <f t="shared" si="13"/>
        <v>0</v>
      </c>
      <c r="S49" s="370">
        <f t="shared" si="14"/>
        <v>0</v>
      </c>
      <c r="T49" s="370"/>
      <c r="U49" s="370">
        <f t="shared" si="0"/>
        <v>0</v>
      </c>
      <c r="V49" s="416">
        <f t="shared" si="12"/>
        <v>0.1</v>
      </c>
      <c r="W49" s="53">
        <f t="shared" ref="W49:W67" si="16">Q49*V49</f>
        <v>6990.3150000000014</v>
      </c>
      <c r="X49" s="417">
        <v>0.7</v>
      </c>
      <c r="Y49" s="53">
        <f t="shared" si="15"/>
        <v>15484.875</v>
      </c>
      <c r="Z49" s="53"/>
      <c r="AA49" s="53"/>
      <c r="AB49" s="53">
        <f t="shared" ref="AB49:AB67" si="17">Q49+W49+Y49</f>
        <v>92378.340000000011</v>
      </c>
      <c r="AD49" s="9"/>
    </row>
    <row r="50" spans="1:36" s="6" customFormat="1" ht="15" x14ac:dyDescent="0.25">
      <c r="A50" s="428">
        <v>35</v>
      </c>
      <c r="B50" s="430" t="s">
        <v>97</v>
      </c>
      <c r="C50" s="426" t="s">
        <v>95</v>
      </c>
      <c r="D50" s="428" t="s">
        <v>35</v>
      </c>
      <c r="E50" s="375" t="s">
        <v>496</v>
      </c>
      <c r="F50" s="375"/>
      <c r="G50" s="375"/>
      <c r="H50" s="375"/>
      <c r="I50" s="375" t="s">
        <v>65</v>
      </c>
      <c r="J50" s="376"/>
      <c r="K50" s="5" t="s">
        <v>94</v>
      </c>
      <c r="L50" s="5">
        <v>1</v>
      </c>
      <c r="M50" s="358">
        <v>17697</v>
      </c>
      <c r="N50" s="373">
        <v>1.25</v>
      </c>
      <c r="O50" s="375"/>
      <c r="P50" s="358">
        <v>3.04</v>
      </c>
      <c r="Q50" s="358">
        <f t="shared" si="9"/>
        <v>67248.599999999991</v>
      </c>
      <c r="R50" s="415">
        <f t="shared" si="13"/>
        <v>0</v>
      </c>
      <c r="S50" s="370">
        <f t="shared" si="14"/>
        <v>0</v>
      </c>
      <c r="T50" s="370"/>
      <c r="U50" s="370">
        <f t="shared" si="0"/>
        <v>0</v>
      </c>
      <c r="V50" s="416">
        <f t="shared" si="12"/>
        <v>0.1</v>
      </c>
      <c r="W50" s="53">
        <f t="shared" si="16"/>
        <v>6724.86</v>
      </c>
      <c r="X50" s="417">
        <v>0.7</v>
      </c>
      <c r="Y50" s="53">
        <f t="shared" si="15"/>
        <v>15484.875</v>
      </c>
      <c r="Z50" s="53"/>
      <c r="AA50" s="53"/>
      <c r="AB50" s="53">
        <f t="shared" si="17"/>
        <v>89458.334999999992</v>
      </c>
      <c r="AD50" s="9"/>
    </row>
    <row r="51" spans="1:36" s="6" customFormat="1" ht="15" x14ac:dyDescent="0.25">
      <c r="A51" s="428">
        <v>36</v>
      </c>
      <c r="B51" s="430" t="s">
        <v>362</v>
      </c>
      <c r="C51" s="426" t="s">
        <v>95</v>
      </c>
      <c r="D51" s="428" t="s">
        <v>118</v>
      </c>
      <c r="E51" s="375" t="s">
        <v>401</v>
      </c>
      <c r="F51" s="375"/>
      <c r="G51" s="375"/>
      <c r="H51" s="375"/>
      <c r="I51" s="375" t="s">
        <v>65</v>
      </c>
      <c r="J51" s="376"/>
      <c r="K51" s="5" t="s">
        <v>94</v>
      </c>
      <c r="L51" s="5">
        <v>1</v>
      </c>
      <c r="M51" s="358">
        <v>17697</v>
      </c>
      <c r="N51" s="373">
        <v>1.25</v>
      </c>
      <c r="O51" s="375"/>
      <c r="P51" s="358">
        <v>3.12</v>
      </c>
      <c r="Q51" s="358">
        <f t="shared" si="9"/>
        <v>69018.3</v>
      </c>
      <c r="R51" s="415">
        <f t="shared" si="13"/>
        <v>0</v>
      </c>
      <c r="S51" s="370">
        <f t="shared" si="14"/>
        <v>0</v>
      </c>
      <c r="T51" s="370"/>
      <c r="U51" s="370">
        <f t="shared" si="0"/>
        <v>0</v>
      </c>
      <c r="V51" s="416">
        <f t="shared" si="12"/>
        <v>0.1</v>
      </c>
      <c r="W51" s="53">
        <f t="shared" si="16"/>
        <v>6901.8300000000008</v>
      </c>
      <c r="X51" s="417">
        <v>0.7</v>
      </c>
      <c r="Y51" s="53">
        <f t="shared" si="15"/>
        <v>15484.875</v>
      </c>
      <c r="Z51" s="53"/>
      <c r="AA51" s="53"/>
      <c r="AB51" s="53">
        <f t="shared" si="17"/>
        <v>91405.005000000005</v>
      </c>
      <c r="AD51" s="9"/>
    </row>
    <row r="52" spans="1:36" s="6" customFormat="1" ht="15" x14ac:dyDescent="0.25">
      <c r="A52" s="428">
        <v>37</v>
      </c>
      <c r="B52" s="430" t="s">
        <v>346</v>
      </c>
      <c r="C52" s="426" t="s">
        <v>95</v>
      </c>
      <c r="D52" s="428" t="s">
        <v>118</v>
      </c>
      <c r="E52" s="375" t="s">
        <v>497</v>
      </c>
      <c r="F52" s="375"/>
      <c r="G52" s="375"/>
      <c r="H52" s="375"/>
      <c r="I52" s="375" t="s">
        <v>65</v>
      </c>
      <c r="J52" s="376"/>
      <c r="K52" s="5" t="s">
        <v>94</v>
      </c>
      <c r="L52" s="5">
        <v>1</v>
      </c>
      <c r="M52" s="358">
        <v>17697</v>
      </c>
      <c r="N52" s="373">
        <v>1.25</v>
      </c>
      <c r="O52" s="375"/>
      <c r="P52" s="358">
        <v>3.12</v>
      </c>
      <c r="Q52" s="358">
        <f t="shared" si="9"/>
        <v>69018.3</v>
      </c>
      <c r="R52" s="415">
        <f t="shared" si="13"/>
        <v>0</v>
      </c>
      <c r="S52" s="370">
        <f t="shared" si="14"/>
        <v>0</v>
      </c>
      <c r="T52" s="370"/>
      <c r="U52" s="370">
        <f t="shared" si="0"/>
        <v>0</v>
      </c>
      <c r="V52" s="416">
        <f t="shared" si="12"/>
        <v>0.1</v>
      </c>
      <c r="W52" s="53">
        <f t="shared" si="16"/>
        <v>6901.8300000000008</v>
      </c>
      <c r="X52" s="417">
        <v>0.7</v>
      </c>
      <c r="Y52" s="53">
        <f t="shared" si="15"/>
        <v>15484.875</v>
      </c>
      <c r="Z52" s="53"/>
      <c r="AA52" s="53"/>
      <c r="AB52" s="53">
        <f t="shared" si="17"/>
        <v>91405.005000000005</v>
      </c>
      <c r="AD52" s="9"/>
    </row>
    <row r="53" spans="1:36" ht="15" x14ac:dyDescent="0.25">
      <c r="A53" s="385">
        <v>38</v>
      </c>
      <c r="B53" s="442" t="s">
        <v>105</v>
      </c>
      <c r="C53" s="399" t="s">
        <v>106</v>
      </c>
      <c r="D53" s="385" t="s">
        <v>118</v>
      </c>
      <c r="E53" s="385" t="s">
        <v>498</v>
      </c>
      <c r="F53" s="385"/>
      <c r="G53" s="388"/>
      <c r="H53" s="388"/>
      <c r="I53" s="385">
        <v>1</v>
      </c>
      <c r="J53" s="389"/>
      <c r="K53" s="389"/>
      <c r="L53" s="385">
        <v>5</v>
      </c>
      <c r="M53" s="393">
        <v>17697</v>
      </c>
      <c r="N53" s="393">
        <v>1</v>
      </c>
      <c r="O53" s="393"/>
      <c r="P53" s="393">
        <v>2.92</v>
      </c>
      <c r="Q53" s="358">
        <f t="shared" si="9"/>
        <v>51675.24</v>
      </c>
      <c r="R53" s="419">
        <f t="shared" si="13"/>
        <v>0</v>
      </c>
      <c r="S53" s="398">
        <f t="shared" si="14"/>
        <v>0</v>
      </c>
      <c r="T53" s="398"/>
      <c r="U53" s="370">
        <f t="shared" si="0"/>
        <v>0</v>
      </c>
      <c r="V53" s="420">
        <f t="shared" si="12"/>
        <v>0.1</v>
      </c>
      <c r="W53" s="53">
        <f t="shared" si="16"/>
        <v>5167.5240000000003</v>
      </c>
      <c r="X53" s="397">
        <v>0.3</v>
      </c>
      <c r="Y53" s="53">
        <f t="shared" si="15"/>
        <v>5309.0999999999995</v>
      </c>
      <c r="Z53" s="53"/>
      <c r="AA53" s="53"/>
      <c r="AB53" s="53">
        <f t="shared" si="17"/>
        <v>62151.863999999994</v>
      </c>
      <c r="AD53" s="437">
        <v>22156</v>
      </c>
      <c r="AE53" s="437">
        <f>76561.65/1.25/2</f>
        <v>30624.659999999996</v>
      </c>
      <c r="AF53" s="437">
        <f>AD53-AE53</f>
        <v>-8468.6599999999962</v>
      </c>
      <c r="AG53" s="437"/>
      <c r="AH53" s="437">
        <f>30624.66*2</f>
        <v>61249.32</v>
      </c>
      <c r="AI53" s="437"/>
      <c r="AJ53" s="437"/>
    </row>
    <row r="54" spans="1:36" ht="18" customHeight="1" x14ac:dyDescent="0.25">
      <c r="A54" s="385">
        <v>39</v>
      </c>
      <c r="B54" s="442" t="s">
        <v>500</v>
      </c>
      <c r="C54" s="399" t="s">
        <v>106</v>
      </c>
      <c r="D54" s="385" t="s">
        <v>318</v>
      </c>
      <c r="E54" s="385" t="s">
        <v>499</v>
      </c>
      <c r="F54" s="385"/>
      <c r="G54" s="388"/>
      <c r="H54" s="388"/>
      <c r="I54" s="385">
        <v>1</v>
      </c>
      <c r="J54" s="389"/>
      <c r="K54" s="389"/>
      <c r="L54" s="385">
        <v>5</v>
      </c>
      <c r="M54" s="393">
        <v>17697</v>
      </c>
      <c r="N54" s="393">
        <v>1</v>
      </c>
      <c r="O54" s="393"/>
      <c r="P54" s="393">
        <v>2.92</v>
      </c>
      <c r="Q54" s="358">
        <f t="shared" si="9"/>
        <v>51675.24</v>
      </c>
      <c r="R54" s="419">
        <f t="shared" si="13"/>
        <v>0</v>
      </c>
      <c r="S54" s="398">
        <f t="shared" si="14"/>
        <v>0</v>
      </c>
      <c r="T54" s="398"/>
      <c r="U54" s="370">
        <f t="shared" si="0"/>
        <v>0</v>
      </c>
      <c r="V54" s="420">
        <f t="shared" si="12"/>
        <v>0.1</v>
      </c>
      <c r="W54" s="53">
        <f t="shared" si="16"/>
        <v>5167.5240000000003</v>
      </c>
      <c r="X54" s="397">
        <v>0.3</v>
      </c>
      <c r="Y54" s="53">
        <f t="shared" si="15"/>
        <v>5309.0999999999995</v>
      </c>
      <c r="Z54" s="53"/>
      <c r="AA54" s="53"/>
      <c r="AB54" s="53">
        <f t="shared" si="17"/>
        <v>62151.863999999994</v>
      </c>
      <c r="AD54" s="437">
        <v>19077</v>
      </c>
      <c r="AE54" s="437">
        <f>48861.42/2</f>
        <v>24430.71</v>
      </c>
      <c r="AF54" s="437">
        <f>AD54-AE54</f>
        <v>-5353.7099999999991</v>
      </c>
      <c r="AG54" s="437"/>
      <c r="AH54" s="437">
        <f>24430.71*2</f>
        <v>48861.42</v>
      </c>
      <c r="AI54" s="437"/>
      <c r="AJ54" s="437"/>
    </row>
    <row r="55" spans="1:36" ht="14.25" customHeight="1" x14ac:dyDescent="0.25">
      <c r="A55" s="549">
        <v>40</v>
      </c>
      <c r="B55" s="552" t="s">
        <v>363</v>
      </c>
      <c r="C55" s="399" t="s">
        <v>109</v>
      </c>
      <c r="D55" s="385" t="s">
        <v>35</v>
      </c>
      <c r="E55" s="385" t="s">
        <v>501</v>
      </c>
      <c r="F55" s="385"/>
      <c r="G55" s="388"/>
      <c r="H55" s="388"/>
      <c r="I55" s="549">
        <v>1</v>
      </c>
      <c r="J55" s="389"/>
      <c r="K55" s="389"/>
      <c r="L55" s="385">
        <v>2</v>
      </c>
      <c r="M55" s="393">
        <v>17697</v>
      </c>
      <c r="N55" s="393">
        <v>0.5</v>
      </c>
      <c r="O55" s="393"/>
      <c r="P55" s="393">
        <v>2.81</v>
      </c>
      <c r="Q55" s="358">
        <f t="shared" si="9"/>
        <v>24864.285</v>
      </c>
      <c r="R55" s="419">
        <f t="shared" ref="R55:R67" si="18">IF(H55&gt;0,25%,0)</f>
        <v>0</v>
      </c>
      <c r="S55" s="398">
        <f t="shared" si="14"/>
        <v>0</v>
      </c>
      <c r="T55" s="398"/>
      <c r="U55" s="370">
        <f t="shared" si="0"/>
        <v>0</v>
      </c>
      <c r="V55" s="420">
        <f t="shared" si="12"/>
        <v>0.1</v>
      </c>
      <c r="W55" s="53">
        <f t="shared" si="16"/>
        <v>2486.4285</v>
      </c>
      <c r="X55" s="397"/>
      <c r="Y55" s="53">
        <f t="shared" si="15"/>
        <v>0</v>
      </c>
      <c r="Z55" s="53"/>
      <c r="AA55" s="53"/>
      <c r="AB55" s="53">
        <f t="shared" si="17"/>
        <v>27350.713499999998</v>
      </c>
      <c r="AC55" s="354"/>
      <c r="AD55" s="437"/>
      <c r="AE55" s="437">
        <v>35916.06</v>
      </c>
      <c r="AF55" s="437"/>
      <c r="AG55" s="437"/>
      <c r="AH55" s="437"/>
      <c r="AI55" s="437"/>
      <c r="AJ55" s="437"/>
    </row>
    <row r="56" spans="1:36" ht="11.25" customHeight="1" x14ac:dyDescent="0.25">
      <c r="A56" s="550"/>
      <c r="B56" s="552"/>
      <c r="C56" s="399" t="s">
        <v>366</v>
      </c>
      <c r="D56" s="385" t="s">
        <v>35</v>
      </c>
      <c r="E56" s="385" t="s">
        <v>501</v>
      </c>
      <c r="F56" s="385"/>
      <c r="G56" s="388"/>
      <c r="H56" s="388"/>
      <c r="I56" s="550"/>
      <c r="J56" s="389"/>
      <c r="K56" s="389"/>
      <c r="L56" s="385">
        <v>2</v>
      </c>
      <c r="M56" s="393">
        <v>17697</v>
      </c>
      <c r="N56" s="393">
        <v>0.5</v>
      </c>
      <c r="O56" s="393"/>
      <c r="P56" s="393">
        <v>2.81</v>
      </c>
      <c r="Q56" s="358">
        <f t="shared" si="9"/>
        <v>24864.285</v>
      </c>
      <c r="R56" s="419">
        <f t="shared" si="18"/>
        <v>0</v>
      </c>
      <c r="S56" s="398">
        <f t="shared" si="14"/>
        <v>0</v>
      </c>
      <c r="T56" s="398"/>
      <c r="U56" s="370">
        <f t="shared" si="0"/>
        <v>0</v>
      </c>
      <c r="V56" s="420">
        <v>0.1</v>
      </c>
      <c r="W56" s="53">
        <f t="shared" si="16"/>
        <v>2486.4285</v>
      </c>
      <c r="X56" s="397"/>
      <c r="Y56" s="53">
        <f t="shared" si="15"/>
        <v>0</v>
      </c>
      <c r="Z56" s="53"/>
      <c r="AA56" s="53"/>
      <c r="AB56" s="53">
        <f t="shared" si="17"/>
        <v>27350.713499999998</v>
      </c>
      <c r="AD56" s="437"/>
      <c r="AE56" s="437"/>
      <c r="AF56" s="437"/>
      <c r="AG56" s="437"/>
      <c r="AH56" s="437"/>
      <c r="AI56" s="437"/>
      <c r="AJ56" s="437"/>
    </row>
    <row r="57" spans="1:36" ht="24" customHeight="1" x14ac:dyDescent="0.25">
      <c r="A57" s="385">
        <v>41</v>
      </c>
      <c r="B57" s="442" t="s">
        <v>364</v>
      </c>
      <c r="C57" s="399" t="s">
        <v>113</v>
      </c>
      <c r="D57" s="385" t="s">
        <v>35</v>
      </c>
      <c r="E57" s="385" t="s">
        <v>396</v>
      </c>
      <c r="F57" s="385"/>
      <c r="G57" s="385"/>
      <c r="H57" s="385"/>
      <c r="I57" s="385">
        <v>1</v>
      </c>
      <c r="J57" s="389"/>
      <c r="K57" s="389"/>
      <c r="L57" s="385">
        <v>2</v>
      </c>
      <c r="M57" s="393">
        <v>17697</v>
      </c>
      <c r="N57" s="393">
        <v>1</v>
      </c>
      <c r="O57" s="393"/>
      <c r="P57" s="393">
        <v>2.81</v>
      </c>
      <c r="Q57" s="358">
        <f t="shared" si="9"/>
        <v>49728.57</v>
      </c>
      <c r="R57" s="419">
        <f t="shared" si="18"/>
        <v>0</v>
      </c>
      <c r="S57" s="398">
        <f t="shared" si="14"/>
        <v>0</v>
      </c>
      <c r="T57" s="398"/>
      <c r="U57" s="370">
        <f t="shared" si="0"/>
        <v>0</v>
      </c>
      <c r="V57" s="420">
        <f>IF(I57&gt;0,10%,0)</f>
        <v>0.1</v>
      </c>
      <c r="W57" s="53">
        <f t="shared" si="16"/>
        <v>4972.857</v>
      </c>
      <c r="X57" s="397">
        <v>0.3</v>
      </c>
      <c r="Y57" s="53">
        <f t="shared" si="15"/>
        <v>5309.0999999999995</v>
      </c>
      <c r="Z57" s="53"/>
      <c r="AA57" s="53"/>
      <c r="AB57" s="53">
        <f t="shared" si="17"/>
        <v>60010.526999999995</v>
      </c>
      <c r="AD57" s="3"/>
      <c r="AE57" s="437"/>
      <c r="AF57" s="437"/>
      <c r="AG57" s="437"/>
      <c r="AH57" s="437"/>
      <c r="AI57" s="437"/>
      <c r="AJ57" s="437"/>
    </row>
    <row r="58" spans="1:36" ht="27" customHeight="1" x14ac:dyDescent="0.25">
      <c r="A58" s="385">
        <v>42</v>
      </c>
      <c r="B58" s="442" t="s">
        <v>365</v>
      </c>
      <c r="C58" s="399" t="s">
        <v>112</v>
      </c>
      <c r="D58" s="385" t="s">
        <v>352</v>
      </c>
      <c r="E58" s="385" t="s">
        <v>396</v>
      </c>
      <c r="F58" s="385"/>
      <c r="G58" s="385"/>
      <c r="H58" s="385"/>
      <c r="I58" s="385">
        <v>1</v>
      </c>
      <c r="J58" s="389"/>
      <c r="K58" s="389"/>
      <c r="L58" s="385">
        <v>2</v>
      </c>
      <c r="M58" s="393">
        <v>17697</v>
      </c>
      <c r="N58" s="393">
        <v>1</v>
      </c>
      <c r="O58" s="393"/>
      <c r="P58" s="385">
        <v>2.81</v>
      </c>
      <c r="Q58" s="358">
        <f t="shared" si="9"/>
        <v>49728.57</v>
      </c>
      <c r="R58" s="419">
        <f t="shared" si="18"/>
        <v>0</v>
      </c>
      <c r="S58" s="398">
        <f t="shared" si="14"/>
        <v>0</v>
      </c>
      <c r="T58" s="398"/>
      <c r="U58" s="370">
        <f t="shared" si="0"/>
        <v>0</v>
      </c>
      <c r="V58" s="420">
        <f>IF(I58&gt;0,10%,0)</f>
        <v>0.1</v>
      </c>
      <c r="W58" s="53">
        <f t="shared" si="16"/>
        <v>4972.857</v>
      </c>
      <c r="X58" s="397">
        <v>0.3</v>
      </c>
      <c r="Y58" s="53">
        <f t="shared" si="15"/>
        <v>5309.0999999999995</v>
      </c>
      <c r="Z58" s="53"/>
      <c r="AA58" s="53"/>
      <c r="AB58" s="53">
        <f t="shared" si="17"/>
        <v>60010.526999999995</v>
      </c>
      <c r="AD58" s="3"/>
      <c r="AE58" s="437"/>
      <c r="AF58" s="437"/>
      <c r="AG58" s="437"/>
      <c r="AH58" s="437"/>
      <c r="AI58" s="437"/>
      <c r="AJ58" s="437"/>
    </row>
    <row r="59" spans="1:36" ht="15" x14ac:dyDescent="0.25">
      <c r="A59" s="549">
        <v>43</v>
      </c>
      <c r="B59" s="552" t="s">
        <v>308</v>
      </c>
      <c r="C59" s="399" t="s">
        <v>366</v>
      </c>
      <c r="D59" s="385" t="s">
        <v>28</v>
      </c>
      <c r="E59" s="385" t="s">
        <v>502</v>
      </c>
      <c r="F59" s="385"/>
      <c r="G59" s="385"/>
      <c r="H59" s="385"/>
      <c r="I59" s="549">
        <v>1</v>
      </c>
      <c r="J59" s="389"/>
      <c r="K59" s="389"/>
      <c r="L59" s="385">
        <v>4</v>
      </c>
      <c r="M59" s="393">
        <v>17697</v>
      </c>
      <c r="N59" s="393">
        <v>0.5</v>
      </c>
      <c r="O59" s="393"/>
      <c r="P59" s="385">
        <v>2.89</v>
      </c>
      <c r="Q59" s="358">
        <f t="shared" si="9"/>
        <v>25572.165000000001</v>
      </c>
      <c r="R59" s="419">
        <f t="shared" si="18"/>
        <v>0</v>
      </c>
      <c r="S59" s="398">
        <f t="shared" si="14"/>
        <v>0</v>
      </c>
      <c r="T59" s="398"/>
      <c r="U59" s="370">
        <f t="shared" si="0"/>
        <v>0</v>
      </c>
      <c r="V59" s="420">
        <f>IF(I59&gt;0,10%,0)</f>
        <v>0.1</v>
      </c>
      <c r="W59" s="53">
        <f t="shared" si="16"/>
        <v>2557.2165000000005</v>
      </c>
      <c r="X59" s="397"/>
      <c r="Y59" s="53">
        <f t="shared" si="15"/>
        <v>0</v>
      </c>
      <c r="Z59" s="53"/>
      <c r="AA59" s="53"/>
      <c r="AB59" s="53">
        <f t="shared" si="17"/>
        <v>28129.381500000003</v>
      </c>
      <c r="AD59" s="3"/>
      <c r="AE59" s="437"/>
      <c r="AF59" s="437"/>
      <c r="AG59" s="437"/>
      <c r="AH59" s="437"/>
      <c r="AI59" s="437"/>
      <c r="AJ59" s="437"/>
    </row>
    <row r="60" spans="1:36" ht="24.75" customHeight="1" x14ac:dyDescent="0.25">
      <c r="A60" s="550"/>
      <c r="B60" s="552"/>
      <c r="C60" s="399" t="s">
        <v>114</v>
      </c>
      <c r="D60" s="385" t="s">
        <v>35</v>
      </c>
      <c r="E60" s="385" t="s">
        <v>502</v>
      </c>
      <c r="F60" s="385"/>
      <c r="G60" s="385"/>
      <c r="H60" s="385"/>
      <c r="I60" s="550"/>
      <c r="J60" s="389"/>
      <c r="K60" s="389"/>
      <c r="L60" s="385">
        <v>2</v>
      </c>
      <c r="M60" s="393">
        <v>17697</v>
      </c>
      <c r="N60" s="393">
        <v>0.5</v>
      </c>
      <c r="O60" s="393"/>
      <c r="P60" s="385">
        <v>2.81</v>
      </c>
      <c r="Q60" s="358">
        <f t="shared" si="9"/>
        <v>24864.285</v>
      </c>
      <c r="R60" s="419">
        <f t="shared" si="18"/>
        <v>0</v>
      </c>
      <c r="S60" s="398">
        <f t="shared" si="14"/>
        <v>0</v>
      </c>
      <c r="T60" s="398"/>
      <c r="U60" s="370">
        <f t="shared" si="0"/>
        <v>0</v>
      </c>
      <c r="V60" s="420">
        <v>0.1</v>
      </c>
      <c r="W60" s="53">
        <f t="shared" si="16"/>
        <v>2486.4285</v>
      </c>
      <c r="X60" s="397"/>
      <c r="Y60" s="53">
        <f t="shared" si="15"/>
        <v>0</v>
      </c>
      <c r="Z60" s="53"/>
      <c r="AA60" s="53"/>
      <c r="AB60" s="53">
        <f t="shared" si="17"/>
        <v>27350.713499999998</v>
      </c>
      <c r="AD60" s="3"/>
      <c r="AE60" s="437"/>
      <c r="AF60" s="437"/>
      <c r="AG60" s="437"/>
      <c r="AH60" s="437"/>
      <c r="AI60" s="437"/>
      <c r="AJ60" s="437"/>
    </row>
    <row r="61" spans="1:36" s="464" customFormat="1" ht="14.25" customHeight="1" x14ac:dyDescent="0.25">
      <c r="A61" s="466"/>
      <c r="B61" s="465" t="s">
        <v>108</v>
      </c>
      <c r="C61" s="399" t="s">
        <v>115</v>
      </c>
      <c r="D61" s="385" t="s">
        <v>35</v>
      </c>
      <c r="E61" s="385" t="s">
        <v>502</v>
      </c>
      <c r="F61" s="385"/>
      <c r="G61" s="385"/>
      <c r="H61" s="385"/>
      <c r="I61" s="466">
        <v>1</v>
      </c>
      <c r="J61" s="389"/>
      <c r="K61" s="389"/>
      <c r="L61" s="385">
        <v>4</v>
      </c>
      <c r="M61" s="393">
        <v>17697</v>
      </c>
      <c r="N61" s="393">
        <v>0.5</v>
      </c>
      <c r="O61" s="393"/>
      <c r="P61" s="385">
        <v>2.89</v>
      </c>
      <c r="Q61" s="358">
        <f t="shared" si="9"/>
        <v>25572.165000000001</v>
      </c>
      <c r="R61" s="419"/>
      <c r="S61" s="398"/>
      <c r="T61" s="398"/>
      <c r="U61" s="370">
        <f t="shared" si="0"/>
        <v>0</v>
      </c>
      <c r="V61" s="420">
        <v>0.1</v>
      </c>
      <c r="W61" s="53">
        <f t="shared" si="16"/>
        <v>2557.2165000000005</v>
      </c>
      <c r="X61" s="397"/>
      <c r="Y61" s="53">
        <f t="shared" si="15"/>
        <v>0</v>
      </c>
      <c r="Z61" s="53"/>
      <c r="AA61" s="53"/>
      <c r="AB61" s="53">
        <f t="shared" si="17"/>
        <v>28129.381500000003</v>
      </c>
      <c r="AD61" s="3"/>
    </row>
    <row r="62" spans="1:36" ht="15" x14ac:dyDescent="0.25">
      <c r="A62" s="549">
        <v>44</v>
      </c>
      <c r="B62" s="559" t="s">
        <v>428</v>
      </c>
      <c r="C62" s="399" t="s">
        <v>115</v>
      </c>
      <c r="D62" s="385" t="s">
        <v>35</v>
      </c>
      <c r="E62" s="385" t="s">
        <v>503</v>
      </c>
      <c r="F62" s="385"/>
      <c r="G62" s="385"/>
      <c r="H62" s="385"/>
      <c r="I62" s="549">
        <v>1</v>
      </c>
      <c r="J62" s="389"/>
      <c r="K62" s="389"/>
      <c r="L62" s="385">
        <v>4</v>
      </c>
      <c r="M62" s="393">
        <v>17697</v>
      </c>
      <c r="N62" s="393">
        <v>0.5</v>
      </c>
      <c r="O62" s="393"/>
      <c r="P62" s="385">
        <v>2.89</v>
      </c>
      <c r="Q62" s="358">
        <f t="shared" si="9"/>
        <v>25572.165000000001</v>
      </c>
      <c r="R62" s="419">
        <f t="shared" si="18"/>
        <v>0</v>
      </c>
      <c r="S62" s="398">
        <f t="shared" si="14"/>
        <v>0</v>
      </c>
      <c r="T62" s="398"/>
      <c r="U62" s="370">
        <f t="shared" si="0"/>
        <v>0</v>
      </c>
      <c r="V62" s="420">
        <v>0.1</v>
      </c>
      <c r="W62" s="53">
        <f t="shared" si="16"/>
        <v>2557.2165000000005</v>
      </c>
      <c r="X62" s="397"/>
      <c r="Y62" s="53">
        <f t="shared" si="15"/>
        <v>0</v>
      </c>
      <c r="Z62" s="53"/>
      <c r="AA62" s="53"/>
      <c r="AB62" s="53">
        <f t="shared" si="17"/>
        <v>28129.381500000003</v>
      </c>
      <c r="AC62" s="354"/>
      <c r="AD62" s="3"/>
      <c r="AE62" s="437"/>
      <c r="AF62" s="437"/>
      <c r="AG62" s="437"/>
      <c r="AH62" s="437"/>
      <c r="AI62" s="437"/>
      <c r="AJ62" s="437"/>
    </row>
    <row r="63" spans="1:36" ht="22.5" customHeight="1" x14ac:dyDescent="0.25">
      <c r="A63" s="550"/>
      <c r="B63" s="560"/>
      <c r="C63" s="399" t="s">
        <v>114</v>
      </c>
      <c r="D63" s="385" t="s">
        <v>35</v>
      </c>
      <c r="E63" s="385" t="s">
        <v>503</v>
      </c>
      <c r="F63" s="385"/>
      <c r="G63" s="385"/>
      <c r="H63" s="385"/>
      <c r="I63" s="550"/>
      <c r="J63" s="389"/>
      <c r="K63" s="389"/>
      <c r="L63" s="385">
        <v>2</v>
      </c>
      <c r="M63" s="393">
        <v>17697</v>
      </c>
      <c r="N63" s="393">
        <v>0.5</v>
      </c>
      <c r="O63" s="393"/>
      <c r="P63" s="385">
        <v>2.81</v>
      </c>
      <c r="Q63" s="358">
        <f t="shared" si="9"/>
        <v>24864.285</v>
      </c>
      <c r="R63" s="419">
        <f t="shared" si="18"/>
        <v>0</v>
      </c>
      <c r="S63" s="398">
        <f t="shared" si="14"/>
        <v>0</v>
      </c>
      <c r="T63" s="398"/>
      <c r="U63" s="370">
        <f t="shared" si="0"/>
        <v>0</v>
      </c>
      <c r="V63" s="420">
        <v>0.1</v>
      </c>
      <c r="W63" s="53">
        <f>Q63*V63</f>
        <v>2486.4285</v>
      </c>
      <c r="X63" s="397"/>
      <c r="Y63" s="53">
        <f t="shared" si="15"/>
        <v>0</v>
      </c>
      <c r="Z63" s="53"/>
      <c r="AA63" s="53"/>
      <c r="AB63" s="53">
        <f t="shared" si="17"/>
        <v>27350.713499999998</v>
      </c>
      <c r="AD63" s="3"/>
      <c r="AE63" s="437"/>
      <c r="AF63" s="437"/>
      <c r="AG63" s="437"/>
      <c r="AH63" s="437"/>
      <c r="AI63" s="437"/>
      <c r="AJ63" s="437"/>
    </row>
    <row r="64" spans="1:36" ht="15" x14ac:dyDescent="0.25">
      <c r="A64" s="385">
        <v>45</v>
      </c>
      <c r="B64" s="442" t="s">
        <v>458</v>
      </c>
      <c r="C64" s="88" t="s">
        <v>119</v>
      </c>
      <c r="D64" s="385" t="s">
        <v>28</v>
      </c>
      <c r="E64" s="385" t="s">
        <v>504</v>
      </c>
      <c r="F64" s="385"/>
      <c r="G64" s="385"/>
      <c r="H64" s="385"/>
      <c r="I64" s="385">
        <v>1</v>
      </c>
      <c r="J64" s="389"/>
      <c r="K64" s="389"/>
      <c r="L64" s="385">
        <v>1</v>
      </c>
      <c r="M64" s="393">
        <v>17697</v>
      </c>
      <c r="N64" s="393">
        <v>1</v>
      </c>
      <c r="O64" s="393"/>
      <c r="P64" s="385">
        <v>2.77</v>
      </c>
      <c r="Q64" s="358">
        <f t="shared" si="9"/>
        <v>49020.69</v>
      </c>
      <c r="R64" s="419">
        <f t="shared" si="18"/>
        <v>0</v>
      </c>
      <c r="S64" s="398">
        <f t="shared" si="14"/>
        <v>0</v>
      </c>
      <c r="T64" s="398"/>
      <c r="U64" s="370">
        <f t="shared" si="0"/>
        <v>0</v>
      </c>
      <c r="V64" s="420">
        <f>IF(I64&gt;0,10%,0)</f>
        <v>0.1</v>
      </c>
      <c r="W64" s="53">
        <f t="shared" si="16"/>
        <v>4902.0690000000004</v>
      </c>
      <c r="X64" s="397"/>
      <c r="Y64" s="53">
        <f t="shared" si="15"/>
        <v>0</v>
      </c>
      <c r="Z64" s="53"/>
      <c r="AA64" s="53"/>
      <c r="AB64" s="53">
        <f t="shared" si="17"/>
        <v>53922.759000000005</v>
      </c>
      <c r="AD64" s="22"/>
      <c r="AE64" s="437"/>
      <c r="AF64" s="437"/>
      <c r="AG64" s="437"/>
      <c r="AH64" s="437"/>
      <c r="AI64" s="437"/>
      <c r="AJ64" s="437"/>
    </row>
    <row r="65" spans="1:36" ht="15" x14ac:dyDescent="0.25">
      <c r="A65" s="385">
        <v>46</v>
      </c>
      <c r="B65" s="442" t="str">
        <f>'[1]РАСЧЁТЫ по действующей сист16'!B118</f>
        <v>Медиев М.</v>
      </c>
      <c r="C65" s="88" t="s">
        <v>119</v>
      </c>
      <c r="D65" s="385" t="s">
        <v>118</v>
      </c>
      <c r="E65" s="455" t="s">
        <v>505</v>
      </c>
      <c r="F65" s="385"/>
      <c r="G65" s="385"/>
      <c r="H65" s="385"/>
      <c r="I65" s="385">
        <v>1</v>
      </c>
      <c r="J65" s="389"/>
      <c r="K65" s="389"/>
      <c r="L65" s="385">
        <v>1</v>
      </c>
      <c r="M65" s="393">
        <v>17697</v>
      </c>
      <c r="N65" s="393">
        <v>1</v>
      </c>
      <c r="O65" s="393"/>
      <c r="P65" s="385">
        <v>2.77</v>
      </c>
      <c r="Q65" s="358">
        <f t="shared" si="9"/>
        <v>49020.69</v>
      </c>
      <c r="R65" s="419">
        <f t="shared" si="18"/>
        <v>0</v>
      </c>
      <c r="S65" s="398">
        <f t="shared" si="14"/>
        <v>0</v>
      </c>
      <c r="T65" s="398"/>
      <c r="U65" s="370">
        <f t="shared" si="0"/>
        <v>0</v>
      </c>
      <c r="V65" s="420">
        <f>IF(I65&gt;0,10%,0)</f>
        <v>0.1</v>
      </c>
      <c r="W65" s="53">
        <f t="shared" si="16"/>
        <v>4902.0690000000004</v>
      </c>
      <c r="X65" s="397"/>
      <c r="Y65" s="53">
        <f t="shared" si="15"/>
        <v>0</v>
      </c>
      <c r="Z65" s="53"/>
      <c r="AA65" s="53"/>
      <c r="AB65" s="53">
        <f t="shared" si="17"/>
        <v>53922.759000000005</v>
      </c>
      <c r="AD65" s="437"/>
      <c r="AE65" s="437"/>
      <c r="AF65" s="437"/>
      <c r="AG65" s="437"/>
      <c r="AH65" s="437"/>
      <c r="AI65" s="437"/>
      <c r="AJ65" s="437"/>
    </row>
    <row r="66" spans="1:36" ht="15" x14ac:dyDescent="0.25">
      <c r="A66" s="385">
        <v>47</v>
      </c>
      <c r="B66" s="442" t="s">
        <v>429</v>
      </c>
      <c r="C66" s="88" t="s">
        <v>119</v>
      </c>
      <c r="D66" s="385" t="s">
        <v>118</v>
      </c>
      <c r="E66" s="385" t="s">
        <v>506</v>
      </c>
      <c r="F66" s="385"/>
      <c r="G66" s="385"/>
      <c r="H66" s="385"/>
      <c r="I66" s="385">
        <v>1</v>
      </c>
      <c r="J66" s="389"/>
      <c r="K66" s="389"/>
      <c r="L66" s="385">
        <v>1</v>
      </c>
      <c r="M66" s="393">
        <v>17697</v>
      </c>
      <c r="N66" s="393">
        <v>1</v>
      </c>
      <c r="O66" s="393"/>
      <c r="P66" s="385">
        <v>2.77</v>
      </c>
      <c r="Q66" s="358">
        <f t="shared" si="9"/>
        <v>49020.69</v>
      </c>
      <c r="R66" s="419">
        <f t="shared" si="18"/>
        <v>0</v>
      </c>
      <c r="S66" s="398">
        <f t="shared" si="14"/>
        <v>0</v>
      </c>
      <c r="T66" s="398"/>
      <c r="U66" s="370">
        <f t="shared" si="0"/>
        <v>0</v>
      </c>
      <c r="V66" s="420">
        <f>IF(I66&gt;0,10%,0)</f>
        <v>0.1</v>
      </c>
      <c r="W66" s="53">
        <f t="shared" si="16"/>
        <v>4902.0690000000004</v>
      </c>
      <c r="X66" s="397"/>
      <c r="Y66" s="53">
        <f t="shared" si="15"/>
        <v>0</v>
      </c>
      <c r="Z66" s="53"/>
      <c r="AA66" s="53"/>
      <c r="AB66" s="53">
        <f t="shared" si="17"/>
        <v>53922.759000000005</v>
      </c>
      <c r="AD66" s="437"/>
      <c r="AE66" s="437"/>
      <c r="AF66" s="437"/>
      <c r="AG66" s="437"/>
      <c r="AH66" s="437"/>
      <c r="AI66" s="437"/>
      <c r="AJ66" s="437"/>
    </row>
    <row r="67" spans="1:36" ht="15" x14ac:dyDescent="0.25">
      <c r="A67" s="77">
        <v>48</v>
      </c>
      <c r="B67" s="435" t="str">
        <f>'[1]РАСЧЁТЫ по действующей сист16'!B120</f>
        <v>Сипатов А.М.</v>
      </c>
      <c r="C67" s="87" t="s">
        <v>120</v>
      </c>
      <c r="D67" s="77" t="s">
        <v>118</v>
      </c>
      <c r="E67" s="77" t="s">
        <v>507</v>
      </c>
      <c r="F67" s="77"/>
      <c r="G67" s="77"/>
      <c r="H67" s="77"/>
      <c r="I67" s="77">
        <v>1</v>
      </c>
      <c r="J67" s="84"/>
      <c r="K67" s="84"/>
      <c r="L67" s="77">
        <v>2</v>
      </c>
      <c r="M67" s="85">
        <v>17697</v>
      </c>
      <c r="N67" s="85">
        <v>1</v>
      </c>
      <c r="O67" s="85"/>
      <c r="P67" s="77">
        <v>2.81</v>
      </c>
      <c r="Q67" s="358">
        <f t="shared" si="9"/>
        <v>49728.57</v>
      </c>
      <c r="R67" s="421">
        <f t="shared" si="18"/>
        <v>0</v>
      </c>
      <c r="S67" s="18">
        <f t="shared" si="14"/>
        <v>0</v>
      </c>
      <c r="T67" s="18"/>
      <c r="U67" s="370">
        <f t="shared" si="0"/>
        <v>0</v>
      </c>
      <c r="V67" s="422">
        <f>IF(I67&gt;0,10%,0)</f>
        <v>0.1</v>
      </c>
      <c r="W67" s="53">
        <f t="shared" si="16"/>
        <v>4972.857</v>
      </c>
      <c r="X67" s="86"/>
      <c r="Y67" s="53">
        <f t="shared" si="15"/>
        <v>0</v>
      </c>
      <c r="Z67" s="53"/>
      <c r="AA67" s="53"/>
      <c r="AB67" s="53">
        <f t="shared" si="17"/>
        <v>54701.426999999996</v>
      </c>
      <c r="AE67" s="437"/>
      <c r="AF67" s="437"/>
      <c r="AG67" s="437"/>
      <c r="AH67" s="437"/>
      <c r="AI67" s="437"/>
      <c r="AJ67" s="437"/>
    </row>
    <row r="68" spans="1:36" ht="12.75" customHeight="1" x14ac:dyDescent="0.2">
      <c r="A68" s="561" t="s">
        <v>124</v>
      </c>
      <c r="B68" s="562"/>
      <c r="C68" s="562"/>
      <c r="D68" s="563"/>
      <c r="E68" s="423"/>
      <c r="F68" s="423"/>
      <c r="G68" s="423"/>
      <c r="H68" s="423"/>
      <c r="I68" s="423">
        <f>SUM(I9:I67)</f>
        <v>39</v>
      </c>
      <c r="J68" s="423"/>
      <c r="K68" s="423"/>
      <c r="L68" s="423"/>
      <c r="M68" s="17">
        <f>SUM(M9:M67)</f>
        <v>1026427</v>
      </c>
      <c r="N68" s="460">
        <f>SUM(N10:N67)</f>
        <v>49.83</v>
      </c>
      <c r="O68" s="424"/>
      <c r="P68" s="424"/>
      <c r="Q68" s="425">
        <f>SUM(Q10:Q67)</f>
        <v>3385394.9634799999</v>
      </c>
      <c r="R68" s="424"/>
      <c r="S68" s="424"/>
      <c r="T68" s="424"/>
      <c r="U68" s="424">
        <f>SUM(U10:U67)</f>
        <v>3026921.66022</v>
      </c>
      <c r="V68" s="424"/>
      <c r="W68" s="460">
        <f>SUM(W10:W67)</f>
        <v>439436.88502199989</v>
      </c>
      <c r="X68" s="424"/>
      <c r="Y68" s="425">
        <f>SUM(Y10:Y67)</f>
        <v>292570.84339999984</v>
      </c>
      <c r="Z68" s="425"/>
      <c r="AA68" s="425"/>
      <c r="AB68" s="425">
        <f>Q68+W68+Y68</f>
        <v>4117402.6919019995</v>
      </c>
      <c r="AD68" s="3"/>
      <c r="AE68" s="437"/>
      <c r="AF68" s="437"/>
      <c r="AG68" s="437"/>
      <c r="AH68" s="437"/>
      <c r="AI68" s="437"/>
      <c r="AJ68" s="437"/>
    </row>
    <row r="69" spans="1:36" x14ac:dyDescent="0.25">
      <c r="A69" s="438"/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D69" s="437"/>
      <c r="AE69" s="437"/>
      <c r="AF69" s="437"/>
      <c r="AG69" s="437"/>
      <c r="AH69" s="437"/>
      <c r="AI69" s="437"/>
      <c r="AJ69" s="437"/>
    </row>
    <row r="70" spans="1:36" ht="15" x14ac:dyDescent="0.25">
      <c r="B70" s="437" t="s">
        <v>463</v>
      </c>
      <c r="C70" s="487"/>
      <c r="D70" s="487"/>
      <c r="E70" s="439"/>
      <c r="F70" s="438"/>
      <c r="G70" s="438"/>
      <c r="H70" s="438"/>
      <c r="I70" s="438"/>
      <c r="L70" s="487" t="s">
        <v>347</v>
      </c>
      <c r="M70" s="487"/>
      <c r="N70" s="488"/>
      <c r="O70" s="24"/>
      <c r="P70" s="25"/>
      <c r="Q70" s="2"/>
      <c r="R70" s="2"/>
      <c r="S70" s="2"/>
      <c r="T70" s="2"/>
      <c r="U70" s="2"/>
      <c r="V70" s="2"/>
      <c r="W70" s="3"/>
      <c r="Y70" s="1"/>
      <c r="Z70" s="1"/>
      <c r="AA70" s="1"/>
      <c r="AB70" s="3"/>
      <c r="AD70" s="437"/>
      <c r="AE70" s="437"/>
      <c r="AF70" s="437"/>
      <c r="AG70" s="437"/>
      <c r="AH70" s="437"/>
      <c r="AI70" s="437"/>
      <c r="AJ70" s="437"/>
    </row>
    <row r="71" spans="1:36" ht="15" x14ac:dyDescent="0.25">
      <c r="C71" s="478" t="s">
        <v>128</v>
      </c>
      <c r="D71" s="478"/>
      <c r="E71" s="478"/>
      <c r="F71" s="438"/>
      <c r="G71" s="438"/>
      <c r="H71" s="438"/>
      <c r="I71" s="438"/>
      <c r="J71" s="436"/>
      <c r="K71" s="436"/>
      <c r="L71" s="479" t="s">
        <v>129</v>
      </c>
      <c r="M71" s="479"/>
      <c r="N71" s="480"/>
      <c r="P71" s="2"/>
      <c r="Q71" s="2"/>
      <c r="R71" s="2"/>
      <c r="S71" s="2"/>
      <c r="T71" s="2"/>
      <c r="U71" s="2"/>
      <c r="V71" s="2"/>
      <c r="W71" s="2"/>
      <c r="X71" s="2"/>
      <c r="Y71" s="26"/>
      <c r="Z71" s="26"/>
      <c r="AA71" s="26"/>
      <c r="AB71" s="3"/>
      <c r="AD71" s="22"/>
      <c r="AE71" s="22"/>
      <c r="AF71" s="22"/>
      <c r="AG71" s="22"/>
      <c r="AH71" s="437"/>
      <c r="AI71" s="437"/>
      <c r="AJ71" s="437"/>
    </row>
    <row r="72" spans="1:36" x14ac:dyDescent="0.25">
      <c r="E72" s="436"/>
      <c r="F72" s="436"/>
      <c r="G72" s="436"/>
      <c r="H72" s="436"/>
      <c r="I72" s="436"/>
      <c r="J72" s="436"/>
      <c r="K72" s="436"/>
      <c r="L72" s="438"/>
      <c r="M72" s="438"/>
      <c r="P72" s="2"/>
      <c r="Q72" s="2"/>
      <c r="R72" s="2"/>
      <c r="S72" s="2"/>
      <c r="T72" s="2"/>
      <c r="U72" s="2"/>
      <c r="V72" s="2"/>
      <c r="W72" s="3"/>
      <c r="X72" s="3"/>
      <c r="AB72" s="3"/>
      <c r="AD72" s="437"/>
      <c r="AF72" s="3"/>
      <c r="AH72" s="437"/>
      <c r="AI72" s="437"/>
      <c r="AJ72" s="437"/>
    </row>
    <row r="73" spans="1:36" ht="15" x14ac:dyDescent="0.25">
      <c r="B73" s="437" t="s">
        <v>40</v>
      </c>
      <c r="C73" s="487"/>
      <c r="D73" s="487"/>
      <c r="E73" s="439"/>
      <c r="F73" s="438"/>
      <c r="G73" s="438"/>
      <c r="H73" s="438"/>
      <c r="I73" s="438"/>
      <c r="L73" s="487" t="s">
        <v>453</v>
      </c>
      <c r="M73" s="487"/>
      <c r="N73" s="488"/>
      <c r="AB73" s="1"/>
      <c r="AD73" s="1"/>
      <c r="AE73" s="437"/>
      <c r="AF73" s="1"/>
      <c r="AG73" s="1"/>
      <c r="AH73" s="437"/>
      <c r="AI73" s="437"/>
      <c r="AJ73" s="437"/>
    </row>
    <row r="74" spans="1:36" ht="15" x14ac:dyDescent="0.25">
      <c r="C74" s="478" t="s">
        <v>128</v>
      </c>
      <c r="D74" s="478"/>
      <c r="E74" s="478"/>
      <c r="F74" s="438"/>
      <c r="G74" s="438"/>
      <c r="H74" s="438"/>
      <c r="I74" s="438"/>
      <c r="L74" s="479" t="s">
        <v>129</v>
      </c>
      <c r="M74" s="479"/>
      <c r="N74" s="480"/>
      <c r="W74" s="26"/>
      <c r="AD74" s="1"/>
      <c r="AE74" s="1"/>
      <c r="AF74" s="1"/>
      <c r="AG74" s="1"/>
      <c r="AH74" s="437"/>
      <c r="AI74" s="437"/>
      <c r="AJ74" s="437"/>
    </row>
    <row r="75" spans="1:36" x14ac:dyDescent="0.25">
      <c r="B75" s="27"/>
      <c r="AD75" s="3"/>
      <c r="AE75" s="3"/>
      <c r="AF75" s="3"/>
      <c r="AG75" s="3"/>
      <c r="AH75" s="437"/>
      <c r="AI75" s="437"/>
      <c r="AJ75" s="437"/>
    </row>
    <row r="76" spans="1:36" x14ac:dyDescent="0.25">
      <c r="B76" s="28" t="s">
        <v>133</v>
      </c>
      <c r="AB76" s="1"/>
      <c r="AD76" s="25"/>
      <c r="AH76" s="437"/>
      <c r="AI76" s="437"/>
      <c r="AJ76" s="437"/>
    </row>
    <row r="77" spans="1:36" x14ac:dyDescent="0.25">
      <c r="N77" s="1"/>
      <c r="Q77" s="1"/>
      <c r="R77" s="1"/>
      <c r="S77" s="1"/>
      <c r="T77" s="1"/>
      <c r="U77" s="1"/>
      <c r="V77" s="1"/>
      <c r="W77" s="1"/>
      <c r="AF77" s="3"/>
      <c r="AH77" s="437"/>
      <c r="AI77" s="437"/>
      <c r="AJ77" s="437"/>
    </row>
    <row r="78" spans="1:36" x14ac:dyDescent="0.25">
      <c r="AH78" s="437"/>
      <c r="AI78" s="437"/>
      <c r="AJ78" s="437"/>
    </row>
    <row r="79" spans="1:36" x14ac:dyDescent="0.25">
      <c r="AH79" s="437"/>
      <c r="AI79" s="437"/>
      <c r="AJ79" s="437"/>
    </row>
    <row r="80" spans="1:36" x14ac:dyDescent="0.25">
      <c r="AH80" s="437"/>
      <c r="AI80" s="437"/>
      <c r="AJ80" s="437"/>
    </row>
    <row r="81" spans="34:36" x14ac:dyDescent="0.25">
      <c r="AH81" s="437"/>
      <c r="AI81" s="437"/>
      <c r="AJ81" s="437"/>
    </row>
    <row r="82" spans="34:36" x14ac:dyDescent="0.25">
      <c r="AH82" s="437"/>
      <c r="AI82" s="437"/>
      <c r="AJ82" s="437"/>
    </row>
    <row r="83" spans="34:36" x14ac:dyDescent="0.25">
      <c r="AH83" s="437"/>
      <c r="AI83" s="437"/>
      <c r="AJ83" s="437"/>
    </row>
    <row r="84" spans="34:36" x14ac:dyDescent="0.25">
      <c r="AH84" s="437"/>
      <c r="AI84" s="437"/>
      <c r="AJ84" s="437"/>
    </row>
    <row r="85" spans="34:36" x14ac:dyDescent="0.25">
      <c r="AH85" s="437"/>
      <c r="AI85" s="437"/>
      <c r="AJ85" s="437"/>
    </row>
    <row r="86" spans="34:36" x14ac:dyDescent="0.25">
      <c r="AH86" s="437"/>
      <c r="AI86" s="437"/>
      <c r="AJ86" s="437"/>
    </row>
    <row r="87" spans="34:36" x14ac:dyDescent="0.25">
      <c r="AH87" s="437"/>
      <c r="AI87" s="437"/>
      <c r="AJ87" s="437"/>
    </row>
    <row r="88" spans="34:36" x14ac:dyDescent="0.25">
      <c r="AH88" s="437"/>
      <c r="AI88" s="437"/>
      <c r="AJ88" s="437"/>
    </row>
    <row r="89" spans="34:36" x14ac:dyDescent="0.25">
      <c r="AH89" s="437"/>
      <c r="AI89" s="437"/>
      <c r="AJ89" s="437"/>
    </row>
    <row r="90" spans="34:36" x14ac:dyDescent="0.25">
      <c r="AH90" s="437"/>
      <c r="AI90" s="437"/>
      <c r="AJ90" s="437"/>
    </row>
    <row r="91" spans="34:36" x14ac:dyDescent="0.25">
      <c r="AH91" s="437"/>
      <c r="AI91" s="437"/>
      <c r="AJ91" s="437"/>
    </row>
    <row r="92" spans="34:36" x14ac:dyDescent="0.25">
      <c r="AH92" s="437"/>
      <c r="AI92" s="437"/>
      <c r="AJ92" s="437"/>
    </row>
    <row r="93" spans="34:36" x14ac:dyDescent="0.25">
      <c r="AH93" s="437"/>
      <c r="AI93" s="437"/>
      <c r="AJ93" s="437"/>
    </row>
    <row r="94" spans="34:36" x14ac:dyDescent="0.25">
      <c r="AH94" s="437"/>
      <c r="AI94" s="437"/>
      <c r="AJ94" s="437"/>
    </row>
    <row r="95" spans="34:36" x14ac:dyDescent="0.25">
      <c r="AH95" s="437"/>
      <c r="AI95" s="437"/>
      <c r="AJ95" s="437"/>
    </row>
  </sheetData>
  <mergeCells count="62">
    <mergeCell ref="Z7:AA7"/>
    <mergeCell ref="I30:I31"/>
    <mergeCell ref="I33:I34"/>
    <mergeCell ref="K7:K8"/>
    <mergeCell ref="L7:L8"/>
    <mergeCell ref="M7:M8"/>
    <mergeCell ref="R7:S7"/>
    <mergeCell ref="V7:W7"/>
    <mergeCell ref="T7:T8"/>
    <mergeCell ref="U7:U8"/>
    <mergeCell ref="A2:AB2"/>
    <mergeCell ref="A3:AB3"/>
    <mergeCell ref="V5:W5"/>
    <mergeCell ref="A7:A8"/>
    <mergeCell ref="B7:B8"/>
    <mergeCell ref="C7:C8"/>
    <mergeCell ref="D7:D8"/>
    <mergeCell ref="E7:E8"/>
    <mergeCell ref="F7:F8"/>
    <mergeCell ref="G7:G8"/>
    <mergeCell ref="X7:Y7"/>
    <mergeCell ref="AB7:AB8"/>
    <mergeCell ref="N7:N8"/>
    <mergeCell ref="O7:O8"/>
    <mergeCell ref="P7:P8"/>
    <mergeCell ref="Q7:Q8"/>
    <mergeCell ref="H7:H8"/>
    <mergeCell ref="I7:I8"/>
    <mergeCell ref="J7:J8"/>
    <mergeCell ref="A16:A17"/>
    <mergeCell ref="B16:B17"/>
    <mergeCell ref="I16:I17"/>
    <mergeCell ref="A11:A12"/>
    <mergeCell ref="B11:B12"/>
    <mergeCell ref="A14:A15"/>
    <mergeCell ref="B14:B15"/>
    <mergeCell ref="I14:I15"/>
    <mergeCell ref="C74:E74"/>
    <mergeCell ref="L74:N74"/>
    <mergeCell ref="A68:D68"/>
    <mergeCell ref="C70:D70"/>
    <mergeCell ref="L70:N70"/>
    <mergeCell ref="C71:E71"/>
    <mergeCell ref="L71:N71"/>
    <mergeCell ref="C73:D73"/>
    <mergeCell ref="L73:N73"/>
    <mergeCell ref="I62:I63"/>
    <mergeCell ref="I11:I12"/>
    <mergeCell ref="A55:A56"/>
    <mergeCell ref="B55:B56"/>
    <mergeCell ref="I59:I60"/>
    <mergeCell ref="B62:B63"/>
    <mergeCell ref="A62:A63"/>
    <mergeCell ref="A59:A60"/>
    <mergeCell ref="B59:B60"/>
    <mergeCell ref="I55:I56"/>
    <mergeCell ref="B30:B31"/>
    <mergeCell ref="B33:B34"/>
    <mergeCell ref="A33:A34"/>
    <mergeCell ref="A30:A31"/>
    <mergeCell ref="B26:B27"/>
    <mergeCell ref="I26:I27"/>
  </mergeCells>
  <phoneticPr fontId="27" type="noConversion"/>
  <pageMargins left="0.7" right="0.7" top="0.75" bottom="0.75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84"/>
  <sheetViews>
    <sheetView topLeftCell="A39" workbookViewId="0">
      <selection activeCell="B44" sqref="B44"/>
    </sheetView>
  </sheetViews>
  <sheetFormatPr defaultRowHeight="12.75" x14ac:dyDescent="0.25"/>
  <cols>
    <col min="1" max="1" width="3.7109375" style="202" customWidth="1"/>
    <col min="2" max="2" width="19.85546875" style="202" customWidth="1"/>
    <col min="3" max="3" width="20.140625" style="201" customWidth="1"/>
    <col min="4" max="4" width="11.140625" style="202" customWidth="1"/>
    <col min="5" max="5" width="12.28515625" style="202" customWidth="1"/>
    <col min="6" max="6" width="6.28515625" style="202" customWidth="1"/>
    <col min="7" max="7" width="4.42578125" style="202" hidden="1" customWidth="1"/>
    <col min="8" max="8" width="7" style="202" customWidth="1"/>
    <col min="9" max="9" width="6" style="202" customWidth="1"/>
    <col min="10" max="10" width="6.85546875" style="202" customWidth="1"/>
    <col min="11" max="11" width="5.140625" style="202" customWidth="1"/>
    <col min="12" max="12" width="9" style="202" customWidth="1"/>
    <col min="13" max="13" width="7.7109375" style="202" customWidth="1"/>
    <col min="14" max="14" width="6.28515625" style="201" customWidth="1"/>
    <col min="15" max="15" width="6.7109375" style="202" customWidth="1"/>
    <col min="16" max="16" width="13.85546875" style="202" customWidth="1"/>
    <col min="17" max="17" width="0.85546875" style="202" hidden="1" customWidth="1"/>
    <col min="18" max="18" width="0.42578125" style="202" hidden="1" customWidth="1"/>
    <col min="19" max="19" width="8.28515625" style="202" customWidth="1"/>
    <col min="20" max="20" width="13.7109375" style="202" customWidth="1"/>
    <col min="21" max="21" width="9.42578125" style="202" customWidth="1"/>
    <col min="22" max="22" width="16.42578125" style="202" customWidth="1"/>
    <col min="23" max="23" width="14.5703125" style="202" customWidth="1"/>
    <col min="24" max="24" width="16.28515625" style="202" customWidth="1"/>
    <col min="25" max="25" width="9.140625" style="202" customWidth="1"/>
    <col min="26" max="26" width="41.85546875" style="2" customWidth="1"/>
    <col min="27" max="27" width="9.28515625" style="2" bestFit="1" customWidth="1"/>
    <col min="28" max="28" width="14" style="2" customWidth="1"/>
    <col min="29" max="29" width="9.140625" style="2"/>
    <col min="30" max="30" width="41.42578125" style="2" customWidth="1"/>
    <col min="31" max="31" width="9.28515625" style="2" bestFit="1" customWidth="1"/>
    <col min="32" max="32" width="13.7109375" style="2" customWidth="1"/>
    <col min="33" max="33" width="9.140625" style="202"/>
    <col min="34" max="34" width="11.7109375" style="202" bestFit="1" customWidth="1"/>
    <col min="35" max="35" width="9.140625" style="202"/>
    <col min="36" max="41" width="9.140625" style="202" customWidth="1"/>
    <col min="42" max="42" width="11.28515625" style="202" bestFit="1" customWidth="1"/>
    <col min="43" max="16384" width="9.140625" style="202"/>
  </cols>
  <sheetData>
    <row r="1" spans="1:43" ht="9.75" customHeight="1" x14ac:dyDescent="0.25">
      <c r="U1" s="1"/>
    </row>
    <row r="2" spans="1:43" ht="16.5" customHeight="1" x14ac:dyDescent="0.25">
      <c r="A2" s="467" t="s">
        <v>0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43" ht="13.5" customHeight="1" x14ac:dyDescent="0.2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Z3" s="202"/>
      <c r="AA3" s="202"/>
      <c r="AB3" s="202"/>
      <c r="AC3" s="202"/>
      <c r="AD3" s="202"/>
      <c r="AE3" s="202"/>
      <c r="AF3" s="202"/>
    </row>
    <row r="4" spans="1:43" ht="13.5" customHeight="1" x14ac:dyDescent="0.25">
      <c r="N4" s="202"/>
    </row>
    <row r="5" spans="1:43" ht="13.5" customHeight="1" x14ac:dyDescent="0.25">
      <c r="N5" s="202"/>
      <c r="S5" s="469"/>
      <c r="T5" s="469"/>
      <c r="Z5" s="470" t="s">
        <v>2</v>
      </c>
      <c r="AA5" s="470" t="s">
        <v>3</v>
      </c>
      <c r="AB5" s="470" t="s">
        <v>4</v>
      </c>
      <c r="AC5" s="201"/>
      <c r="AD5" s="470" t="s">
        <v>2</v>
      </c>
      <c r="AE5" s="470" t="s">
        <v>3</v>
      </c>
      <c r="AF5" s="470" t="s">
        <v>4</v>
      </c>
      <c r="AG5" s="201"/>
      <c r="AH5" s="201"/>
      <c r="AI5" s="201"/>
    </row>
    <row r="6" spans="1:43" ht="13.5" customHeight="1" thickBot="1" x14ac:dyDescent="0.3">
      <c r="N6" s="202"/>
      <c r="Z6" s="471"/>
      <c r="AA6" s="471"/>
      <c r="AB6" s="471"/>
      <c r="AD6" s="471"/>
      <c r="AE6" s="471"/>
      <c r="AF6" s="471"/>
      <c r="AG6" s="201"/>
      <c r="AH6" s="201"/>
      <c r="AI6" s="201"/>
    </row>
    <row r="7" spans="1:43" s="201" customFormat="1" ht="41.25" customHeight="1" thickBot="1" x14ac:dyDescent="0.3">
      <c r="A7" s="472" t="s">
        <v>5</v>
      </c>
      <c r="B7" s="472" t="s">
        <v>6</v>
      </c>
      <c r="C7" s="472" t="s">
        <v>7</v>
      </c>
      <c r="D7" s="472" t="s">
        <v>8</v>
      </c>
      <c r="E7" s="472" t="s">
        <v>9</v>
      </c>
      <c r="F7" s="474" t="s">
        <v>10</v>
      </c>
      <c r="G7" s="474" t="s">
        <v>11</v>
      </c>
      <c r="H7" s="474" t="s">
        <v>12</v>
      </c>
      <c r="I7" s="476" t="s">
        <v>13</v>
      </c>
      <c r="J7" s="476" t="s">
        <v>14</v>
      </c>
      <c r="K7" s="476" t="s">
        <v>15</v>
      </c>
      <c r="L7" s="472" t="s">
        <v>16</v>
      </c>
      <c r="M7" s="472" t="s">
        <v>17</v>
      </c>
      <c r="N7" s="472" t="s">
        <v>10</v>
      </c>
      <c r="O7" s="472" t="s">
        <v>18</v>
      </c>
      <c r="P7" s="472" t="s">
        <v>19</v>
      </c>
      <c r="Q7" s="490" t="s">
        <v>20</v>
      </c>
      <c r="R7" s="492"/>
      <c r="S7" s="493" t="s">
        <v>21</v>
      </c>
      <c r="T7" s="494"/>
      <c r="U7" s="490" t="s">
        <v>22</v>
      </c>
      <c r="V7" s="491"/>
      <c r="W7" s="472" t="s">
        <v>23</v>
      </c>
      <c r="Z7" s="470" t="s">
        <v>2</v>
      </c>
      <c r="AA7" s="470" t="s">
        <v>3</v>
      </c>
      <c r="AB7" s="470" t="s">
        <v>4</v>
      </c>
      <c r="AC7" s="3"/>
      <c r="AD7" s="470" t="s">
        <v>2</v>
      </c>
      <c r="AE7" s="470" t="s">
        <v>3</v>
      </c>
      <c r="AF7" s="470" t="s">
        <v>4</v>
      </c>
      <c r="AG7" s="202"/>
      <c r="AH7" s="202"/>
      <c r="AI7" s="202"/>
    </row>
    <row r="8" spans="1:43" s="201" customFormat="1" ht="94.5" customHeight="1" thickBot="1" x14ac:dyDescent="0.3">
      <c r="A8" s="473"/>
      <c r="B8" s="473"/>
      <c r="C8" s="473"/>
      <c r="D8" s="473"/>
      <c r="E8" s="473"/>
      <c r="F8" s="475"/>
      <c r="G8" s="475"/>
      <c r="H8" s="475"/>
      <c r="I8" s="477"/>
      <c r="J8" s="477"/>
      <c r="K8" s="477"/>
      <c r="L8" s="473"/>
      <c r="M8" s="473"/>
      <c r="N8" s="473"/>
      <c r="O8" s="473"/>
      <c r="P8" s="473"/>
      <c r="Q8" s="41" t="s">
        <v>24</v>
      </c>
      <c r="R8" s="41" t="s">
        <v>25</v>
      </c>
      <c r="S8" s="41" t="s">
        <v>24</v>
      </c>
      <c r="T8" s="41" t="s">
        <v>25</v>
      </c>
      <c r="U8" s="41" t="s">
        <v>24</v>
      </c>
      <c r="V8" s="41" t="s">
        <v>25</v>
      </c>
      <c r="W8" s="473"/>
      <c r="Z8" s="471"/>
      <c r="AA8" s="471"/>
      <c r="AB8" s="471"/>
      <c r="AC8" s="2"/>
      <c r="AD8" s="471"/>
      <c r="AE8" s="471"/>
      <c r="AF8" s="471"/>
      <c r="AG8" s="202"/>
      <c r="AH8" s="202"/>
      <c r="AI8" s="202"/>
    </row>
    <row r="9" spans="1:43" s="6" customFormat="1" ht="15" customHeight="1" x14ac:dyDescent="0.25">
      <c r="A9" s="4">
        <v>1</v>
      </c>
      <c r="B9" s="42" t="s">
        <v>26</v>
      </c>
      <c r="C9" s="43" t="s">
        <v>27</v>
      </c>
      <c r="D9" s="4" t="s">
        <v>28</v>
      </c>
      <c r="E9" s="44" t="s">
        <v>29</v>
      </c>
      <c r="F9" s="45"/>
      <c r="G9" s="46"/>
      <c r="H9" s="34">
        <v>1</v>
      </c>
      <c r="I9" s="47" t="s">
        <v>30</v>
      </c>
      <c r="J9" s="47" t="s">
        <v>31</v>
      </c>
      <c r="K9" s="5">
        <v>3</v>
      </c>
      <c r="L9" s="48">
        <v>17697</v>
      </c>
      <c r="M9" s="48">
        <v>1</v>
      </c>
      <c r="N9" s="48"/>
      <c r="O9" s="4">
        <v>4.9400000000000004</v>
      </c>
      <c r="P9" s="48">
        <f>O9*L9</f>
        <v>87423.180000000008</v>
      </c>
      <c r="Q9" s="49">
        <f>IF(G9&gt;0,25%,0)</f>
        <v>0</v>
      </c>
      <c r="R9" s="50">
        <f t="shared" ref="R9:R14" si="0">ROUND((P9+T9)*Q9,2)</f>
        <v>0</v>
      </c>
      <c r="S9" s="51">
        <f t="shared" ref="S9:S14" si="1">IF(H9&gt;0,10%,0)</f>
        <v>0.1</v>
      </c>
      <c r="T9" s="50">
        <f t="shared" ref="T9:T14" si="2">ROUND(P9*S9*M9,2)</f>
        <v>8742.32</v>
      </c>
      <c r="U9" s="52">
        <v>0.3</v>
      </c>
      <c r="V9" s="53">
        <f t="shared" ref="V9" si="3">L9*U9*M9</f>
        <v>5309.0999999999995</v>
      </c>
      <c r="W9" s="53">
        <f t="shared" ref="W9:W42" si="4">ROUND(P9*M9+T9+R9+V9,2)</f>
        <v>101474.6</v>
      </c>
      <c r="X9" s="222">
        <f>W9/M9</f>
        <v>101474.6</v>
      </c>
      <c r="Z9" s="7"/>
      <c r="AA9" s="8"/>
      <c r="AB9" s="8"/>
      <c r="AC9" s="9"/>
      <c r="AD9" s="7" t="str">
        <f>B7:B9</f>
        <v>Юсупова А.Е.</v>
      </c>
      <c r="AE9" s="8">
        <f>M9</f>
        <v>1</v>
      </c>
      <c r="AF9" s="8">
        <f>W9</f>
        <v>101474.6</v>
      </c>
      <c r="AP9" s="10"/>
      <c r="AQ9" s="11">
        <f>P9+T9+R9+V9</f>
        <v>101474.6</v>
      </c>
    </row>
    <row r="10" spans="1:43" s="6" customFormat="1" ht="15" hidden="1" customHeight="1" x14ac:dyDescent="0.25">
      <c r="A10" s="4">
        <v>2</v>
      </c>
      <c r="B10" s="42">
        <f>'[1]РАСЧЁТЫ по действующей сист16'!B10</f>
        <v>0</v>
      </c>
      <c r="C10" s="43" t="s">
        <v>32</v>
      </c>
      <c r="D10" s="4"/>
      <c r="E10" s="44"/>
      <c r="F10" s="44"/>
      <c r="G10" s="54"/>
      <c r="H10" s="54"/>
      <c r="I10" s="47"/>
      <c r="J10" s="4"/>
      <c r="K10" s="5">
        <v>3</v>
      </c>
      <c r="L10" s="48">
        <v>17697</v>
      </c>
      <c r="M10" s="48"/>
      <c r="N10" s="48"/>
      <c r="O10" s="48"/>
      <c r="P10" s="48">
        <f>O10*L10</f>
        <v>0</v>
      </c>
      <c r="Q10" s="49">
        <f t="shared" ref="Q10:Q49" si="5">IF(G10&gt;0,25%,0)</f>
        <v>0</v>
      </c>
      <c r="R10" s="50">
        <f t="shared" si="0"/>
        <v>0</v>
      </c>
      <c r="S10" s="51">
        <f t="shared" si="1"/>
        <v>0</v>
      </c>
      <c r="T10" s="50">
        <f t="shared" si="2"/>
        <v>0</v>
      </c>
      <c r="U10" s="55"/>
      <c r="V10" s="53"/>
      <c r="W10" s="53">
        <f t="shared" si="4"/>
        <v>0</v>
      </c>
      <c r="X10" s="222" t="e">
        <f t="shared" ref="X10:X14" si="6">W10/M10</f>
        <v>#DIV/0!</v>
      </c>
      <c r="Z10" s="7"/>
      <c r="AA10" s="8"/>
      <c r="AB10" s="8"/>
      <c r="AC10" s="9"/>
      <c r="AD10" s="7">
        <f>B8:B10</f>
        <v>0</v>
      </c>
      <c r="AE10" s="8">
        <f>M10</f>
        <v>0</v>
      </c>
      <c r="AF10" s="8">
        <f>W10</f>
        <v>0</v>
      </c>
    </row>
    <row r="11" spans="1:43" s="6" customFormat="1" ht="15" hidden="1" customHeight="1" x14ac:dyDescent="0.25">
      <c r="A11" s="4">
        <v>3</v>
      </c>
      <c r="B11" s="42">
        <f>'[1]РАСЧЁТЫ по действующей сист16'!B11</f>
        <v>0</v>
      </c>
      <c r="C11" s="43" t="s">
        <v>33</v>
      </c>
      <c r="D11" s="4"/>
      <c r="E11" s="4"/>
      <c r="F11" s="4"/>
      <c r="G11" s="4"/>
      <c r="H11" s="4"/>
      <c r="I11" s="12"/>
      <c r="J11" s="12"/>
      <c r="K11" s="5">
        <v>3</v>
      </c>
      <c r="L11" s="48">
        <v>17697</v>
      </c>
      <c r="M11" s="48"/>
      <c r="N11" s="48"/>
      <c r="O11" s="4"/>
      <c r="P11" s="48">
        <f>L11*O11</f>
        <v>0</v>
      </c>
      <c r="Q11" s="49">
        <f t="shared" si="5"/>
        <v>0</v>
      </c>
      <c r="R11" s="50">
        <f t="shared" si="0"/>
        <v>0</v>
      </c>
      <c r="S11" s="51">
        <f t="shared" si="1"/>
        <v>0</v>
      </c>
      <c r="T11" s="50">
        <f t="shared" si="2"/>
        <v>0</v>
      </c>
      <c r="U11" s="55"/>
      <c r="V11" s="53"/>
      <c r="W11" s="53">
        <f t="shared" si="4"/>
        <v>0</v>
      </c>
      <c r="X11" s="222" t="e">
        <f t="shared" si="6"/>
        <v>#DIV/0!</v>
      </c>
      <c r="Z11" s="7">
        <f>B11</f>
        <v>0</v>
      </c>
      <c r="AA11" s="8">
        <f>M11</f>
        <v>0</v>
      </c>
      <c r="AB11" s="8">
        <f>W11</f>
        <v>0</v>
      </c>
      <c r="AC11" s="13"/>
      <c r="AD11" s="7"/>
      <c r="AE11" s="8"/>
      <c r="AF11" s="8"/>
    </row>
    <row r="12" spans="1:43" s="6" customFormat="1" ht="27" customHeight="1" x14ac:dyDescent="0.25">
      <c r="A12" s="4">
        <v>4</v>
      </c>
      <c r="B12" s="42" t="str">
        <f>'[1]РАСЧЁТЫ по действующей сист16'!B12</f>
        <v>Саттарова Г.С.</v>
      </c>
      <c r="C12" s="43" t="s">
        <v>34</v>
      </c>
      <c r="D12" s="4" t="s">
        <v>35</v>
      </c>
      <c r="E12" s="4" t="s">
        <v>36</v>
      </c>
      <c r="F12" s="4"/>
      <c r="G12" s="4"/>
      <c r="H12" s="4">
        <v>1</v>
      </c>
      <c r="I12" s="4"/>
      <c r="J12" s="4" t="s">
        <v>37</v>
      </c>
      <c r="K12" s="5">
        <v>3</v>
      </c>
      <c r="L12" s="48">
        <v>17697</v>
      </c>
      <c r="M12" s="48">
        <v>1</v>
      </c>
      <c r="N12" s="48"/>
      <c r="O12" s="48">
        <v>2.4</v>
      </c>
      <c r="P12" s="48">
        <f>L12*O12</f>
        <v>42472.799999999996</v>
      </c>
      <c r="Q12" s="49">
        <f t="shared" si="5"/>
        <v>0</v>
      </c>
      <c r="R12" s="50">
        <f t="shared" si="0"/>
        <v>0</v>
      </c>
      <c r="S12" s="51">
        <f t="shared" si="1"/>
        <v>0.1</v>
      </c>
      <c r="T12" s="50">
        <f t="shared" si="2"/>
        <v>4247.28</v>
      </c>
      <c r="U12" s="55"/>
      <c r="V12" s="53"/>
      <c r="W12" s="53">
        <f t="shared" si="4"/>
        <v>46720.08</v>
      </c>
      <c r="X12" s="222">
        <f t="shared" si="6"/>
        <v>46720.08</v>
      </c>
      <c r="Z12" s="7" t="str">
        <f>B12</f>
        <v>Саттарова Г.С.</v>
      </c>
      <c r="AA12" s="8">
        <f>M12</f>
        <v>1</v>
      </c>
      <c r="AB12" s="8">
        <f>W12</f>
        <v>46720.08</v>
      </c>
      <c r="AC12" s="9"/>
      <c r="AD12" s="7"/>
      <c r="AE12" s="8"/>
      <c r="AF12" s="8"/>
    </row>
    <row r="13" spans="1:43" s="6" customFormat="1" ht="15" hidden="1" customHeight="1" x14ac:dyDescent="0.25">
      <c r="A13" s="4">
        <v>5</v>
      </c>
      <c r="B13" s="42">
        <f>'[1]РАСЧЁТЫ по действующей сист16'!B13</f>
        <v>0</v>
      </c>
      <c r="C13" s="56" t="s">
        <v>38</v>
      </c>
      <c r="D13" s="4"/>
      <c r="E13" s="4"/>
      <c r="F13" s="4"/>
      <c r="G13" s="4"/>
      <c r="H13" s="4"/>
      <c r="I13" s="12"/>
      <c r="J13" s="12"/>
      <c r="K13" s="5"/>
      <c r="L13" s="48">
        <v>17697</v>
      </c>
      <c r="M13" s="48"/>
      <c r="N13" s="57"/>
      <c r="O13" s="48"/>
      <c r="P13" s="48">
        <f>L13*O13</f>
        <v>0</v>
      </c>
      <c r="Q13" s="49">
        <f t="shared" si="5"/>
        <v>0</v>
      </c>
      <c r="R13" s="50">
        <f t="shared" si="0"/>
        <v>0</v>
      </c>
      <c r="S13" s="51">
        <f t="shared" si="1"/>
        <v>0</v>
      </c>
      <c r="T13" s="50">
        <f t="shared" si="2"/>
        <v>0</v>
      </c>
      <c r="U13" s="55"/>
      <c r="V13" s="53"/>
      <c r="W13" s="53">
        <f t="shared" si="4"/>
        <v>0</v>
      </c>
      <c r="X13" s="222" t="e">
        <f t="shared" si="6"/>
        <v>#DIV/0!</v>
      </c>
      <c r="Z13" s="7">
        <f>B13</f>
        <v>0</v>
      </c>
      <c r="AA13" s="8">
        <f>M13</f>
        <v>0</v>
      </c>
      <c r="AB13" s="8">
        <f>W13</f>
        <v>0</v>
      </c>
      <c r="AC13" s="9"/>
      <c r="AD13" s="7"/>
      <c r="AE13" s="8"/>
      <c r="AF13" s="8"/>
    </row>
    <row r="14" spans="1:43" s="6" customFormat="1" ht="15" customHeight="1" thickBot="1" x14ac:dyDescent="0.3">
      <c r="A14" s="4">
        <v>6</v>
      </c>
      <c r="B14" s="42" t="s">
        <v>169</v>
      </c>
      <c r="C14" s="58" t="s">
        <v>40</v>
      </c>
      <c r="D14" s="59" t="s">
        <v>28</v>
      </c>
      <c r="E14" s="59" t="s">
        <v>170</v>
      </c>
      <c r="F14" s="59"/>
      <c r="G14" s="59"/>
      <c r="H14" s="59">
        <v>1</v>
      </c>
      <c r="I14" s="32"/>
      <c r="J14" s="32" t="s">
        <v>37</v>
      </c>
      <c r="K14" s="33">
        <v>2</v>
      </c>
      <c r="L14" s="60">
        <v>17697</v>
      </c>
      <c r="M14" s="60">
        <v>0.5</v>
      </c>
      <c r="N14" s="48"/>
      <c r="O14" s="60">
        <v>3.22</v>
      </c>
      <c r="P14" s="60">
        <f>L14*O14</f>
        <v>56984.340000000004</v>
      </c>
      <c r="Q14" s="49">
        <f t="shared" si="5"/>
        <v>0</v>
      </c>
      <c r="R14" s="50">
        <f t="shared" si="0"/>
        <v>0</v>
      </c>
      <c r="S14" s="51">
        <f t="shared" si="1"/>
        <v>0.1</v>
      </c>
      <c r="T14" s="50">
        <f t="shared" si="2"/>
        <v>2849.22</v>
      </c>
      <c r="U14" s="61"/>
      <c r="V14" s="62"/>
      <c r="W14" s="53">
        <f t="shared" si="4"/>
        <v>31341.39</v>
      </c>
      <c r="X14" s="222">
        <f t="shared" si="6"/>
        <v>62682.78</v>
      </c>
      <c r="Z14" s="7" t="str">
        <f>B14</f>
        <v>Доирбаева Д.Е.</v>
      </c>
      <c r="AA14" s="8">
        <f>M14</f>
        <v>0.5</v>
      </c>
      <c r="AB14" s="8">
        <f>W14</f>
        <v>31341.39</v>
      </c>
      <c r="AC14" s="9"/>
      <c r="AD14" s="7"/>
      <c r="AE14" s="8"/>
      <c r="AF14" s="8"/>
    </row>
    <row r="15" spans="1:43" ht="30" customHeight="1" thickBot="1" x14ac:dyDescent="0.3">
      <c r="A15" s="481" t="s">
        <v>42</v>
      </c>
      <c r="B15" s="482"/>
      <c r="C15" s="482"/>
      <c r="D15" s="482"/>
      <c r="E15" s="204"/>
      <c r="F15" s="204"/>
      <c r="G15" s="204"/>
      <c r="H15" s="204"/>
      <c r="I15" s="204"/>
      <c r="J15" s="204"/>
      <c r="K15" s="64"/>
      <c r="L15" s="204"/>
      <c r="M15" s="65">
        <f>SUM(M9:M14)</f>
        <v>2.5</v>
      </c>
      <c r="N15" s="65"/>
      <c r="O15" s="65"/>
      <c r="P15" s="65">
        <f>SUM(P9:P14)</f>
        <v>186880.32</v>
      </c>
      <c r="Q15" s="65"/>
      <c r="R15" s="66">
        <f>SUM(R9:R14)</f>
        <v>0</v>
      </c>
      <c r="S15" s="66"/>
      <c r="T15" s="66">
        <f>SUM(T9:T14)</f>
        <v>15838.819999999998</v>
      </c>
      <c r="U15" s="66">
        <f>SUM(U9:U13)</f>
        <v>0.3</v>
      </c>
      <c r="V15" s="66">
        <f>SUM(V9:V14)</f>
        <v>5309.0999999999995</v>
      </c>
      <c r="W15" s="17">
        <f>SUM(W9:W14)</f>
        <v>179536.07</v>
      </c>
      <c r="Z15" s="14" t="s">
        <v>43</v>
      </c>
      <c r="AA15" s="15">
        <f>SUM(AA9:AA14)</f>
        <v>1.5</v>
      </c>
      <c r="AB15" s="15">
        <f>SUM(AB9:AB14)</f>
        <v>78061.47</v>
      </c>
      <c r="AC15" s="3"/>
      <c r="AD15" s="14" t="s">
        <v>44</v>
      </c>
      <c r="AE15" s="15">
        <f>SUM(AE9:AE14)</f>
        <v>1</v>
      </c>
      <c r="AF15" s="15">
        <f>SUM(AF9:AF14)</f>
        <v>101474.6</v>
      </c>
      <c r="AH15" s="1"/>
    </row>
    <row r="16" spans="1:43" s="6" customFormat="1" ht="14.25" customHeight="1" x14ac:dyDescent="0.25">
      <c r="A16" s="34">
        <v>7</v>
      </c>
      <c r="B16" s="46" t="s">
        <v>45</v>
      </c>
      <c r="C16" s="67" t="s">
        <v>46</v>
      </c>
      <c r="D16" s="34" t="s">
        <v>28</v>
      </c>
      <c r="E16" s="34" t="s">
        <v>47</v>
      </c>
      <c r="F16" s="34"/>
      <c r="G16" s="34"/>
      <c r="H16" s="34">
        <v>1</v>
      </c>
      <c r="I16" s="34" t="s">
        <v>48</v>
      </c>
      <c r="J16" s="34" t="s">
        <v>53</v>
      </c>
      <c r="K16" s="35">
        <v>2</v>
      </c>
      <c r="L16" s="68">
        <v>17697</v>
      </c>
      <c r="M16" s="69">
        <v>0.75</v>
      </c>
      <c r="N16" s="68">
        <v>1</v>
      </c>
      <c r="O16" s="68">
        <v>3.96</v>
      </c>
      <c r="P16" s="68">
        <f>L16*O16</f>
        <v>70080.12</v>
      </c>
      <c r="Q16" s="49">
        <f t="shared" si="5"/>
        <v>0</v>
      </c>
      <c r="R16" s="50">
        <f>ROUND((P16+T16)*Q16,2)</f>
        <v>0</v>
      </c>
      <c r="S16" s="51">
        <f>IF(H16&gt;0,10%,0)</f>
        <v>0.1</v>
      </c>
      <c r="T16" s="50">
        <f>ROUND(P16*S16*M16,2)</f>
        <v>5256.01</v>
      </c>
      <c r="U16" s="52">
        <v>0.4</v>
      </c>
      <c r="V16" s="53">
        <f t="shared" ref="V16:V47" si="7">L16*U16*M16</f>
        <v>5309.1</v>
      </c>
      <c r="W16" s="53">
        <f t="shared" si="4"/>
        <v>63125.2</v>
      </c>
      <c r="X16" s="222">
        <f>W16/M16</f>
        <v>84166.933333333334</v>
      </c>
      <c r="Z16" s="7"/>
      <c r="AA16" s="8"/>
      <c r="AB16" s="8"/>
      <c r="AC16" s="13"/>
      <c r="AD16" s="7" t="str">
        <f>B16</f>
        <v>Утебаева А. К.</v>
      </c>
      <c r="AE16" s="16">
        <f>M16</f>
        <v>0.75</v>
      </c>
      <c r="AF16" s="8">
        <f>W16</f>
        <v>63125.2</v>
      </c>
    </row>
    <row r="17" spans="1:32" s="6" customFormat="1" ht="15" x14ac:dyDescent="0.25">
      <c r="A17" s="34">
        <v>8</v>
      </c>
      <c r="B17" s="46" t="s">
        <v>50</v>
      </c>
      <c r="C17" s="56" t="s">
        <v>51</v>
      </c>
      <c r="D17" s="34" t="s">
        <v>28</v>
      </c>
      <c r="E17" s="34" t="s">
        <v>52</v>
      </c>
      <c r="F17" s="34"/>
      <c r="G17" s="34"/>
      <c r="H17" s="34">
        <v>1</v>
      </c>
      <c r="I17" s="34" t="s">
        <v>48</v>
      </c>
      <c r="J17" s="34" t="s">
        <v>53</v>
      </c>
      <c r="K17" s="35">
        <v>4</v>
      </c>
      <c r="L17" s="68">
        <v>17697</v>
      </c>
      <c r="M17" s="69">
        <v>1</v>
      </c>
      <c r="N17" s="68"/>
      <c r="O17" s="68">
        <v>3.2</v>
      </c>
      <c r="P17" s="68">
        <f t="shared" ref="P17:P48" si="8">L17*O17</f>
        <v>56630.400000000001</v>
      </c>
      <c r="Q17" s="49">
        <f t="shared" si="5"/>
        <v>0</v>
      </c>
      <c r="R17" s="50">
        <f t="shared" ref="R17:R48" si="9">ROUND((P17+T17)*Q17,2)</f>
        <v>0</v>
      </c>
      <c r="S17" s="51">
        <f t="shared" ref="S17:S48" si="10">IF(H17&gt;0,10%,0)</f>
        <v>0.1</v>
      </c>
      <c r="T17" s="50">
        <f t="shared" ref="T17:T49" si="11">ROUND(P17*S17*M17,2)</f>
        <v>5663.04</v>
      </c>
      <c r="U17" s="52">
        <v>0.4</v>
      </c>
      <c r="V17" s="53">
        <f t="shared" si="7"/>
        <v>7078.8</v>
      </c>
      <c r="W17" s="50">
        <f t="shared" si="4"/>
        <v>69372.240000000005</v>
      </c>
      <c r="X17" s="222">
        <f t="shared" ref="X17:X32" si="12">W17/M17</f>
        <v>69372.240000000005</v>
      </c>
      <c r="Z17" s="7"/>
      <c r="AA17" s="8"/>
      <c r="AB17" s="8"/>
      <c r="AC17" s="13"/>
      <c r="AD17" s="7"/>
      <c r="AE17" s="16"/>
      <c r="AF17" s="8"/>
    </row>
    <row r="18" spans="1:32" s="6" customFormat="1" ht="15" x14ac:dyDescent="0.25">
      <c r="A18" s="34">
        <v>9</v>
      </c>
      <c r="B18" s="46" t="str">
        <f>'[1]РАСЧЁТЫ по действующей сист16'!B19</f>
        <v>Зикен Н.</v>
      </c>
      <c r="C18" s="56" t="s">
        <v>54</v>
      </c>
      <c r="D18" s="34" t="s">
        <v>28</v>
      </c>
      <c r="E18" s="34" t="s">
        <v>41</v>
      </c>
      <c r="F18" s="34"/>
      <c r="G18" s="34"/>
      <c r="H18" s="34">
        <v>1</v>
      </c>
      <c r="I18" s="34" t="s">
        <v>48</v>
      </c>
      <c r="J18" s="34" t="s">
        <v>53</v>
      </c>
      <c r="K18" s="35">
        <v>4</v>
      </c>
      <c r="L18" s="68">
        <v>17697</v>
      </c>
      <c r="M18" s="69">
        <v>1</v>
      </c>
      <c r="N18" s="68"/>
      <c r="O18" s="68">
        <v>3.08</v>
      </c>
      <c r="P18" s="68">
        <f t="shared" si="8"/>
        <v>54506.76</v>
      </c>
      <c r="Q18" s="49">
        <f t="shared" si="5"/>
        <v>0</v>
      </c>
      <c r="R18" s="50">
        <f t="shared" si="9"/>
        <v>0</v>
      </c>
      <c r="S18" s="51">
        <f t="shared" si="10"/>
        <v>0.1</v>
      </c>
      <c r="T18" s="50">
        <f t="shared" si="11"/>
        <v>5450.68</v>
      </c>
      <c r="U18" s="52">
        <v>0.4</v>
      </c>
      <c r="V18" s="53">
        <f t="shared" si="7"/>
        <v>7078.8</v>
      </c>
      <c r="W18" s="50">
        <f t="shared" si="4"/>
        <v>67036.240000000005</v>
      </c>
      <c r="X18" s="222">
        <f t="shared" si="12"/>
        <v>67036.240000000005</v>
      </c>
      <c r="Z18" s="7"/>
      <c r="AA18" s="8"/>
      <c r="AB18" s="8"/>
      <c r="AC18" s="13"/>
      <c r="AD18" s="7" t="str">
        <f t="shared" ref="AD18:AD26" si="13">B18</f>
        <v>Зикен Н.</v>
      </c>
      <c r="AE18" s="16">
        <f t="shared" ref="AE18:AE26" si="14">M18</f>
        <v>1</v>
      </c>
      <c r="AF18" s="8">
        <f t="shared" ref="AF18:AF26" si="15">W18</f>
        <v>67036.240000000005</v>
      </c>
    </row>
    <row r="19" spans="1:32" s="6" customFormat="1" ht="15" x14ac:dyDescent="0.25">
      <c r="A19" s="34">
        <v>10</v>
      </c>
      <c r="B19" s="46" t="str">
        <f>'[1]РАСЧЁТЫ по действующей сист16'!B21</f>
        <v>Коломыцева А.Ю.</v>
      </c>
      <c r="C19" s="56" t="s">
        <v>54</v>
      </c>
      <c r="D19" s="34" t="s">
        <v>28</v>
      </c>
      <c r="E19" s="34">
        <v>1</v>
      </c>
      <c r="F19" s="34"/>
      <c r="G19" s="34"/>
      <c r="H19" s="34">
        <v>1</v>
      </c>
      <c r="I19" s="34" t="s">
        <v>48</v>
      </c>
      <c r="J19" s="34" t="s">
        <v>53</v>
      </c>
      <c r="K19" s="35">
        <v>4</v>
      </c>
      <c r="L19" s="68">
        <v>17697</v>
      </c>
      <c r="M19" s="69">
        <v>1</v>
      </c>
      <c r="N19" s="68"/>
      <c r="O19" s="68">
        <v>3.14</v>
      </c>
      <c r="P19" s="68">
        <f t="shared" si="8"/>
        <v>55568.58</v>
      </c>
      <c r="Q19" s="49">
        <f t="shared" si="5"/>
        <v>0</v>
      </c>
      <c r="R19" s="50">
        <f t="shared" si="9"/>
        <v>0</v>
      </c>
      <c r="S19" s="51">
        <f t="shared" si="10"/>
        <v>0.1</v>
      </c>
      <c r="T19" s="50">
        <f t="shared" si="11"/>
        <v>5556.86</v>
      </c>
      <c r="U19" s="52">
        <v>0.4</v>
      </c>
      <c r="V19" s="53">
        <f t="shared" si="7"/>
        <v>7078.8</v>
      </c>
      <c r="W19" s="50">
        <f t="shared" si="4"/>
        <v>68204.240000000005</v>
      </c>
      <c r="X19" s="222">
        <f t="shared" si="12"/>
        <v>68204.240000000005</v>
      </c>
      <c r="Z19" s="7"/>
      <c r="AA19" s="8"/>
      <c r="AB19" s="8"/>
      <c r="AC19" s="13"/>
      <c r="AD19" s="7" t="str">
        <f t="shared" si="13"/>
        <v>Коломыцева А.Ю.</v>
      </c>
      <c r="AE19" s="16">
        <f t="shared" si="14"/>
        <v>1</v>
      </c>
      <c r="AF19" s="8">
        <f t="shared" si="15"/>
        <v>68204.240000000005</v>
      </c>
    </row>
    <row r="20" spans="1:32" s="6" customFormat="1" ht="15" x14ac:dyDescent="0.25">
      <c r="A20" s="34">
        <v>11</v>
      </c>
      <c r="B20" s="46" t="str">
        <f>'[1]РАСЧЁТЫ по действующей сист16'!B22</f>
        <v>Тулепберген Ф.</v>
      </c>
      <c r="C20" s="56" t="s">
        <v>54</v>
      </c>
      <c r="D20" s="34" t="s">
        <v>28</v>
      </c>
      <c r="E20" s="34">
        <v>1</v>
      </c>
      <c r="F20" s="34"/>
      <c r="G20" s="34"/>
      <c r="H20" s="34">
        <v>1</v>
      </c>
      <c r="I20" s="34" t="s">
        <v>48</v>
      </c>
      <c r="J20" s="34" t="s">
        <v>53</v>
      </c>
      <c r="K20" s="35">
        <v>4</v>
      </c>
      <c r="L20" s="68">
        <v>17697</v>
      </c>
      <c r="M20" s="69">
        <v>1</v>
      </c>
      <c r="N20" s="68"/>
      <c r="O20" s="68">
        <v>3.14</v>
      </c>
      <c r="P20" s="68">
        <f t="shared" si="8"/>
        <v>55568.58</v>
      </c>
      <c r="Q20" s="49">
        <f t="shared" si="5"/>
        <v>0</v>
      </c>
      <c r="R20" s="50">
        <f t="shared" si="9"/>
        <v>0</v>
      </c>
      <c r="S20" s="51">
        <f t="shared" si="10"/>
        <v>0.1</v>
      </c>
      <c r="T20" s="50">
        <f t="shared" si="11"/>
        <v>5556.86</v>
      </c>
      <c r="U20" s="52">
        <v>0.4</v>
      </c>
      <c r="V20" s="53">
        <f t="shared" si="7"/>
        <v>7078.8</v>
      </c>
      <c r="W20" s="50">
        <f t="shared" si="4"/>
        <v>68204.240000000005</v>
      </c>
      <c r="X20" s="222">
        <f t="shared" si="12"/>
        <v>68204.240000000005</v>
      </c>
      <c r="Z20" s="7"/>
      <c r="AA20" s="8"/>
      <c r="AB20" s="8"/>
      <c r="AC20" s="13"/>
      <c r="AD20" s="7" t="str">
        <f t="shared" si="13"/>
        <v>Тулепберген Ф.</v>
      </c>
      <c r="AE20" s="16">
        <f t="shared" si="14"/>
        <v>1</v>
      </c>
      <c r="AF20" s="8">
        <f t="shared" si="15"/>
        <v>68204.240000000005</v>
      </c>
    </row>
    <row r="21" spans="1:32" s="6" customFormat="1" ht="15" x14ac:dyDescent="0.25">
      <c r="A21" s="34">
        <v>12</v>
      </c>
      <c r="B21" s="46" t="str">
        <f>'[1]РАСЧЁТЫ по действующей сист16'!B23</f>
        <v>Абильдинова С.С.</v>
      </c>
      <c r="C21" s="56" t="s">
        <v>54</v>
      </c>
      <c r="D21" s="34" t="s">
        <v>28</v>
      </c>
      <c r="E21" s="34">
        <v>1</v>
      </c>
      <c r="F21" s="34"/>
      <c r="G21" s="34"/>
      <c r="H21" s="34">
        <v>1</v>
      </c>
      <c r="I21" s="34" t="s">
        <v>48</v>
      </c>
      <c r="J21" s="34" t="s">
        <v>53</v>
      </c>
      <c r="K21" s="35">
        <v>4</v>
      </c>
      <c r="L21" s="68">
        <v>17697</v>
      </c>
      <c r="M21" s="69">
        <v>1</v>
      </c>
      <c r="N21" s="68"/>
      <c r="O21" s="68">
        <v>3.14</v>
      </c>
      <c r="P21" s="68">
        <f t="shared" si="8"/>
        <v>55568.58</v>
      </c>
      <c r="Q21" s="49">
        <f t="shared" si="5"/>
        <v>0</v>
      </c>
      <c r="R21" s="50">
        <f t="shared" si="9"/>
        <v>0</v>
      </c>
      <c r="S21" s="51">
        <f t="shared" si="10"/>
        <v>0.1</v>
      </c>
      <c r="T21" s="50">
        <f t="shared" si="11"/>
        <v>5556.86</v>
      </c>
      <c r="U21" s="52">
        <v>0.4</v>
      </c>
      <c r="V21" s="53">
        <f t="shared" si="7"/>
        <v>7078.8</v>
      </c>
      <c r="W21" s="53">
        <f t="shared" si="4"/>
        <v>68204.240000000005</v>
      </c>
      <c r="X21" s="222">
        <f t="shared" si="12"/>
        <v>68204.240000000005</v>
      </c>
      <c r="Z21" s="7"/>
      <c r="AA21" s="8"/>
      <c r="AB21" s="8"/>
      <c r="AC21" s="13"/>
      <c r="AD21" s="7" t="str">
        <f t="shared" si="13"/>
        <v>Абильдинова С.С.</v>
      </c>
      <c r="AE21" s="16">
        <f t="shared" si="14"/>
        <v>1</v>
      </c>
      <c r="AF21" s="8">
        <f t="shared" si="15"/>
        <v>68204.240000000005</v>
      </c>
    </row>
    <row r="22" spans="1:32" s="6" customFormat="1" ht="15" x14ac:dyDescent="0.25">
      <c r="A22" s="34">
        <v>13</v>
      </c>
      <c r="B22" s="46" t="s">
        <v>55</v>
      </c>
      <c r="C22" s="56" t="s">
        <v>54</v>
      </c>
      <c r="D22" s="34" t="s">
        <v>28</v>
      </c>
      <c r="E22" s="4" t="s">
        <v>41</v>
      </c>
      <c r="F22" s="4"/>
      <c r="G22" s="4"/>
      <c r="H22" s="34">
        <v>1</v>
      </c>
      <c r="I22" s="34" t="s">
        <v>48</v>
      </c>
      <c r="J22" s="34" t="s">
        <v>53</v>
      </c>
      <c r="K22" s="35">
        <v>4</v>
      </c>
      <c r="L22" s="68">
        <v>17697</v>
      </c>
      <c r="M22" s="69">
        <v>1</v>
      </c>
      <c r="N22" s="68"/>
      <c r="O22" s="68">
        <v>3.08</v>
      </c>
      <c r="P22" s="68">
        <f t="shared" si="8"/>
        <v>54506.76</v>
      </c>
      <c r="Q22" s="49">
        <f t="shared" si="5"/>
        <v>0</v>
      </c>
      <c r="R22" s="50">
        <f t="shared" si="9"/>
        <v>0</v>
      </c>
      <c r="S22" s="51">
        <f t="shared" si="10"/>
        <v>0.1</v>
      </c>
      <c r="T22" s="50">
        <f t="shared" si="11"/>
        <v>5450.68</v>
      </c>
      <c r="U22" s="52">
        <v>0.4</v>
      </c>
      <c r="V22" s="53">
        <f t="shared" si="7"/>
        <v>7078.8</v>
      </c>
      <c r="W22" s="53">
        <f t="shared" si="4"/>
        <v>67036.240000000005</v>
      </c>
      <c r="X22" s="222">
        <f t="shared" si="12"/>
        <v>67036.240000000005</v>
      </c>
      <c r="Z22" s="7"/>
      <c r="AA22" s="8"/>
      <c r="AB22" s="8"/>
      <c r="AC22" s="9"/>
      <c r="AD22" s="7" t="str">
        <f t="shared" si="13"/>
        <v>Маульянова М. Ж.</v>
      </c>
      <c r="AE22" s="16">
        <f t="shared" si="14"/>
        <v>1</v>
      </c>
      <c r="AF22" s="8">
        <f t="shared" si="15"/>
        <v>67036.240000000005</v>
      </c>
    </row>
    <row r="23" spans="1:32" s="6" customFormat="1" ht="15" x14ac:dyDescent="0.25">
      <c r="A23" s="34">
        <v>14</v>
      </c>
      <c r="B23" s="46" t="s">
        <v>57</v>
      </c>
      <c r="C23" s="56" t="s">
        <v>58</v>
      </c>
      <c r="D23" s="4" t="s">
        <v>28</v>
      </c>
      <c r="E23" s="4">
        <v>3</v>
      </c>
      <c r="F23" s="4"/>
      <c r="G23" s="4"/>
      <c r="H23" s="4">
        <v>1</v>
      </c>
      <c r="I23" s="34" t="s">
        <v>48</v>
      </c>
      <c r="J23" s="4" t="s">
        <v>56</v>
      </c>
      <c r="K23" s="5">
        <v>4</v>
      </c>
      <c r="L23" s="48">
        <v>17697</v>
      </c>
      <c r="M23" s="70">
        <v>0.5</v>
      </c>
      <c r="N23" s="48"/>
      <c r="O23" s="4">
        <v>2.92</v>
      </c>
      <c r="P23" s="68">
        <f t="shared" si="8"/>
        <v>51675.24</v>
      </c>
      <c r="Q23" s="49">
        <f t="shared" si="5"/>
        <v>0</v>
      </c>
      <c r="R23" s="50">
        <f t="shared" si="9"/>
        <v>0</v>
      </c>
      <c r="S23" s="51">
        <f t="shared" si="10"/>
        <v>0.1</v>
      </c>
      <c r="T23" s="50">
        <f t="shared" si="11"/>
        <v>2583.7600000000002</v>
      </c>
      <c r="U23" s="52">
        <v>0.4</v>
      </c>
      <c r="V23" s="53">
        <f t="shared" si="7"/>
        <v>3539.4</v>
      </c>
      <c r="W23" s="53">
        <f t="shared" si="4"/>
        <v>31960.78</v>
      </c>
      <c r="X23" s="222">
        <f t="shared" si="12"/>
        <v>63921.56</v>
      </c>
      <c r="Z23" s="7"/>
      <c r="AA23" s="8"/>
      <c r="AB23" s="8"/>
      <c r="AC23" s="9"/>
      <c r="AD23" s="7" t="str">
        <f t="shared" si="13"/>
        <v>Жуманова М.С.</v>
      </c>
      <c r="AE23" s="16">
        <f t="shared" si="14"/>
        <v>0.5</v>
      </c>
      <c r="AF23" s="8">
        <f t="shared" si="15"/>
        <v>31960.78</v>
      </c>
    </row>
    <row r="24" spans="1:32" s="6" customFormat="1" ht="15" x14ac:dyDescent="0.25">
      <c r="A24" s="34">
        <v>15</v>
      </c>
      <c r="B24" s="46" t="s">
        <v>59</v>
      </c>
      <c r="C24" s="56" t="s">
        <v>60</v>
      </c>
      <c r="D24" s="4" t="s">
        <v>28</v>
      </c>
      <c r="E24" s="4" t="s">
        <v>41</v>
      </c>
      <c r="F24" s="4"/>
      <c r="G24" s="4"/>
      <c r="H24" s="4">
        <v>1</v>
      </c>
      <c r="I24" s="34" t="s">
        <v>48</v>
      </c>
      <c r="J24" s="4" t="s">
        <v>53</v>
      </c>
      <c r="K24" s="5">
        <v>4</v>
      </c>
      <c r="L24" s="48">
        <v>17697</v>
      </c>
      <c r="M24" s="70">
        <v>1</v>
      </c>
      <c r="N24" s="48"/>
      <c r="O24" s="4">
        <v>3.08</v>
      </c>
      <c r="P24" s="68">
        <f t="shared" si="8"/>
        <v>54506.76</v>
      </c>
      <c r="Q24" s="49">
        <f t="shared" si="5"/>
        <v>0</v>
      </c>
      <c r="R24" s="50">
        <f t="shared" si="9"/>
        <v>0</v>
      </c>
      <c r="S24" s="51">
        <f t="shared" si="10"/>
        <v>0.1</v>
      </c>
      <c r="T24" s="50">
        <f t="shared" si="11"/>
        <v>5450.68</v>
      </c>
      <c r="U24" s="52">
        <v>0.4</v>
      </c>
      <c r="V24" s="53">
        <f t="shared" si="7"/>
        <v>7078.8</v>
      </c>
      <c r="W24" s="53">
        <f t="shared" si="4"/>
        <v>67036.240000000005</v>
      </c>
      <c r="X24" s="222">
        <f t="shared" si="12"/>
        <v>67036.240000000005</v>
      </c>
      <c r="Z24" s="7"/>
      <c r="AA24" s="8"/>
      <c r="AB24" s="8"/>
      <c r="AC24" s="9"/>
      <c r="AD24" s="7" t="str">
        <f t="shared" si="13"/>
        <v>Мунсызова А. Е.</v>
      </c>
      <c r="AE24" s="16">
        <f t="shared" si="14"/>
        <v>1</v>
      </c>
      <c r="AF24" s="8">
        <f t="shared" si="15"/>
        <v>67036.240000000005</v>
      </c>
    </row>
    <row r="25" spans="1:32" s="6" customFormat="1" ht="15" x14ac:dyDescent="0.25">
      <c r="A25" s="34">
        <v>16</v>
      </c>
      <c r="B25" s="46" t="s">
        <v>61</v>
      </c>
      <c r="C25" s="56" t="s">
        <v>60</v>
      </c>
      <c r="D25" s="4" t="s">
        <v>28</v>
      </c>
      <c r="E25" s="4">
        <v>17</v>
      </c>
      <c r="F25" s="4"/>
      <c r="G25" s="4"/>
      <c r="H25" s="4">
        <v>1</v>
      </c>
      <c r="I25" s="34" t="s">
        <v>48</v>
      </c>
      <c r="J25" s="4" t="s">
        <v>53</v>
      </c>
      <c r="K25" s="5">
        <v>4</v>
      </c>
      <c r="L25" s="48">
        <v>17697</v>
      </c>
      <c r="M25" s="70">
        <v>1</v>
      </c>
      <c r="N25" s="48"/>
      <c r="O25" s="4">
        <v>3.58</v>
      </c>
      <c r="P25" s="68">
        <f t="shared" si="8"/>
        <v>63355.26</v>
      </c>
      <c r="Q25" s="49">
        <f t="shared" si="5"/>
        <v>0</v>
      </c>
      <c r="R25" s="50">
        <f t="shared" si="9"/>
        <v>0</v>
      </c>
      <c r="S25" s="51">
        <f t="shared" si="10"/>
        <v>0.1</v>
      </c>
      <c r="T25" s="50">
        <f t="shared" si="11"/>
        <v>6335.53</v>
      </c>
      <c r="U25" s="52">
        <v>0.4</v>
      </c>
      <c r="V25" s="53">
        <f t="shared" si="7"/>
        <v>7078.8</v>
      </c>
      <c r="W25" s="53">
        <f t="shared" si="4"/>
        <v>76769.59</v>
      </c>
      <c r="X25" s="222">
        <f t="shared" si="12"/>
        <v>76769.59</v>
      </c>
      <c r="Z25" s="7"/>
      <c r="AA25" s="8"/>
      <c r="AB25" s="8"/>
      <c r="AC25" s="9"/>
      <c r="AD25" s="7" t="str">
        <f t="shared" si="13"/>
        <v>Искакова С.К.</v>
      </c>
      <c r="AE25" s="16">
        <f t="shared" si="14"/>
        <v>1</v>
      </c>
      <c r="AF25" s="8">
        <f t="shared" si="15"/>
        <v>76769.59</v>
      </c>
    </row>
    <row r="26" spans="1:32" s="6" customFormat="1" ht="15" x14ac:dyDescent="0.25">
      <c r="A26" s="34">
        <v>17</v>
      </c>
      <c r="B26" s="42" t="s">
        <v>62</v>
      </c>
      <c r="C26" s="56" t="s">
        <v>63</v>
      </c>
      <c r="D26" s="4" t="s">
        <v>28</v>
      </c>
      <c r="E26" s="4" t="s">
        <v>64</v>
      </c>
      <c r="F26" s="71"/>
      <c r="G26" s="71"/>
      <c r="H26" s="71" t="s">
        <v>65</v>
      </c>
      <c r="I26" s="12"/>
      <c r="J26" s="12" t="s">
        <v>37</v>
      </c>
      <c r="K26" s="5">
        <v>2</v>
      </c>
      <c r="L26" s="48">
        <v>17697</v>
      </c>
      <c r="M26" s="70">
        <v>0.5</v>
      </c>
      <c r="N26" s="48"/>
      <c r="O26" s="48">
        <v>3.45</v>
      </c>
      <c r="P26" s="48">
        <f t="shared" si="8"/>
        <v>61054.65</v>
      </c>
      <c r="Q26" s="49">
        <f t="shared" si="5"/>
        <v>0</v>
      </c>
      <c r="R26" s="50">
        <f t="shared" si="9"/>
        <v>0</v>
      </c>
      <c r="S26" s="51">
        <f t="shared" si="10"/>
        <v>0.1</v>
      </c>
      <c r="T26" s="50">
        <f t="shared" si="11"/>
        <v>3052.73</v>
      </c>
      <c r="U26" s="52"/>
      <c r="V26" s="53">
        <f t="shared" si="7"/>
        <v>0</v>
      </c>
      <c r="W26" s="53">
        <f t="shared" si="4"/>
        <v>33580.06</v>
      </c>
      <c r="X26" s="222">
        <f t="shared" si="12"/>
        <v>67160.12</v>
      </c>
      <c r="Z26" s="7"/>
      <c r="AA26" s="8"/>
      <c r="AB26" s="8"/>
      <c r="AC26" s="9"/>
      <c r="AD26" s="7" t="str">
        <f t="shared" si="13"/>
        <v>Мухаметжанова Д.С.</v>
      </c>
      <c r="AE26" s="16">
        <f t="shared" si="14"/>
        <v>0.5</v>
      </c>
      <c r="AF26" s="8">
        <f t="shared" si="15"/>
        <v>33580.06</v>
      </c>
    </row>
    <row r="27" spans="1:32" s="6" customFormat="1" ht="15" x14ac:dyDescent="0.25">
      <c r="A27" s="34">
        <v>18</v>
      </c>
      <c r="B27" s="46" t="str">
        <f>'[1]РАСЧЁТЫ по действующей сист16'!B31</f>
        <v>Жанарбаева А.Е.</v>
      </c>
      <c r="C27" s="56" t="s">
        <v>66</v>
      </c>
      <c r="D27" s="4" t="s">
        <v>28</v>
      </c>
      <c r="E27" s="4" t="s">
        <v>67</v>
      </c>
      <c r="F27" s="71"/>
      <c r="G27" s="71"/>
      <c r="H27" s="71" t="s">
        <v>65</v>
      </c>
      <c r="I27" s="12" t="s">
        <v>48</v>
      </c>
      <c r="J27" s="12" t="s">
        <v>53</v>
      </c>
      <c r="K27" s="5">
        <v>4</v>
      </c>
      <c r="L27" s="48">
        <v>17697</v>
      </c>
      <c r="M27" s="70">
        <v>0.25</v>
      </c>
      <c r="N27" s="48"/>
      <c r="O27" s="48">
        <v>3.65</v>
      </c>
      <c r="P27" s="48">
        <f t="shared" si="8"/>
        <v>64594.049999999996</v>
      </c>
      <c r="Q27" s="49">
        <f t="shared" si="5"/>
        <v>0</v>
      </c>
      <c r="R27" s="50">
        <f t="shared" si="9"/>
        <v>0</v>
      </c>
      <c r="S27" s="51">
        <f t="shared" si="10"/>
        <v>0.1</v>
      </c>
      <c r="T27" s="50">
        <f t="shared" si="11"/>
        <v>1614.85</v>
      </c>
      <c r="U27" s="52">
        <v>0.4</v>
      </c>
      <c r="V27" s="53">
        <f t="shared" si="7"/>
        <v>1769.7</v>
      </c>
      <c r="W27" s="53">
        <f t="shared" si="4"/>
        <v>19533.060000000001</v>
      </c>
      <c r="X27" s="222">
        <f t="shared" si="12"/>
        <v>78132.240000000005</v>
      </c>
      <c r="Z27" s="7" t="str">
        <f t="shared" ref="Z27:Z30" si="16">B27</f>
        <v>Жанарбаева А.Е.</v>
      </c>
      <c r="AA27" s="8">
        <f t="shared" ref="AA27:AA33" si="17">M27</f>
        <v>0.25</v>
      </c>
      <c r="AB27" s="8">
        <f>W27</f>
        <v>19533.060000000001</v>
      </c>
      <c r="AC27" s="9"/>
      <c r="AD27" s="7"/>
      <c r="AE27" s="16"/>
      <c r="AF27" s="8"/>
    </row>
    <row r="28" spans="1:32" s="6" customFormat="1" ht="15" x14ac:dyDescent="0.25">
      <c r="A28" s="34">
        <v>19</v>
      </c>
      <c r="B28" s="46" t="str">
        <f>'[1]РАСЧЁТЫ по действующей сист16'!B32</f>
        <v>Арынова  П.Т.</v>
      </c>
      <c r="C28" s="56" t="s">
        <v>68</v>
      </c>
      <c r="D28" s="4" t="s">
        <v>28</v>
      </c>
      <c r="E28" s="4" t="s">
        <v>69</v>
      </c>
      <c r="F28" s="71"/>
      <c r="G28" s="71"/>
      <c r="H28" s="71" t="s">
        <v>65</v>
      </c>
      <c r="I28" s="12" t="s">
        <v>48</v>
      </c>
      <c r="J28" s="12" t="s">
        <v>53</v>
      </c>
      <c r="K28" s="5">
        <v>4</v>
      </c>
      <c r="L28" s="48">
        <v>17697</v>
      </c>
      <c r="M28" s="70">
        <v>0.25</v>
      </c>
      <c r="N28" s="48"/>
      <c r="O28" s="48">
        <v>3.65</v>
      </c>
      <c r="P28" s="48">
        <f t="shared" si="8"/>
        <v>64594.049999999996</v>
      </c>
      <c r="Q28" s="49">
        <f t="shared" si="5"/>
        <v>0</v>
      </c>
      <c r="R28" s="50">
        <f t="shared" si="9"/>
        <v>0</v>
      </c>
      <c r="S28" s="51">
        <f t="shared" si="10"/>
        <v>0.1</v>
      </c>
      <c r="T28" s="50">
        <f t="shared" si="11"/>
        <v>1614.85</v>
      </c>
      <c r="U28" s="52">
        <v>0.4</v>
      </c>
      <c r="V28" s="53">
        <f t="shared" si="7"/>
        <v>1769.7</v>
      </c>
      <c r="W28" s="53">
        <f t="shared" si="4"/>
        <v>19533.060000000001</v>
      </c>
      <c r="X28" s="222">
        <f t="shared" si="12"/>
        <v>78132.240000000005</v>
      </c>
      <c r="Z28" s="7" t="str">
        <f t="shared" si="16"/>
        <v>Арынова  П.Т.</v>
      </c>
      <c r="AA28" s="8">
        <f t="shared" si="17"/>
        <v>0.25</v>
      </c>
      <c r="AB28" s="8">
        <f>W28</f>
        <v>19533.060000000001</v>
      </c>
      <c r="AC28" s="9"/>
      <c r="AD28" s="7"/>
      <c r="AE28" s="16"/>
      <c r="AF28" s="8"/>
    </row>
    <row r="29" spans="1:32" s="6" customFormat="1" ht="15" x14ac:dyDescent="0.25">
      <c r="A29" s="34">
        <v>20</v>
      </c>
      <c r="B29" s="72" t="s">
        <v>70</v>
      </c>
      <c r="C29" s="56" t="s">
        <v>71</v>
      </c>
      <c r="D29" s="4" t="s">
        <v>35</v>
      </c>
      <c r="E29" s="4" t="s">
        <v>69</v>
      </c>
      <c r="F29" s="71"/>
      <c r="G29" s="71"/>
      <c r="H29" s="71" t="s">
        <v>65</v>
      </c>
      <c r="I29" s="12" t="s">
        <v>48</v>
      </c>
      <c r="J29" s="12" t="s">
        <v>49</v>
      </c>
      <c r="K29" s="5">
        <v>4</v>
      </c>
      <c r="L29" s="48">
        <v>17697</v>
      </c>
      <c r="M29" s="70">
        <v>1</v>
      </c>
      <c r="N29" s="48"/>
      <c r="O29" s="48">
        <v>2.68</v>
      </c>
      <c r="P29" s="48">
        <f t="shared" si="8"/>
        <v>47427.960000000006</v>
      </c>
      <c r="Q29" s="49">
        <f t="shared" si="5"/>
        <v>0</v>
      </c>
      <c r="R29" s="50">
        <f t="shared" si="9"/>
        <v>0</v>
      </c>
      <c r="S29" s="51">
        <f t="shared" si="10"/>
        <v>0.1</v>
      </c>
      <c r="T29" s="50">
        <f t="shared" si="11"/>
        <v>4742.8</v>
      </c>
      <c r="U29" s="52">
        <v>0.4</v>
      </c>
      <c r="V29" s="53">
        <f t="shared" si="7"/>
        <v>7078.8</v>
      </c>
      <c r="W29" s="53">
        <f t="shared" si="4"/>
        <v>59249.56</v>
      </c>
      <c r="X29" s="222">
        <f t="shared" si="12"/>
        <v>59249.56</v>
      </c>
      <c r="Z29" s="7" t="str">
        <f t="shared" si="16"/>
        <v>Тезекбаева Р.Т.</v>
      </c>
      <c r="AA29" s="8">
        <f t="shared" si="17"/>
        <v>1</v>
      </c>
      <c r="AB29" s="8">
        <f>W29</f>
        <v>59249.56</v>
      </c>
      <c r="AC29" s="9"/>
      <c r="AD29" s="7"/>
      <c r="AE29" s="16"/>
      <c r="AF29" s="8"/>
    </row>
    <row r="30" spans="1:32" s="6" customFormat="1" ht="15" x14ac:dyDescent="0.25">
      <c r="A30" s="34">
        <v>21</v>
      </c>
      <c r="B30" s="46" t="str">
        <f>'[1]РАСЧЁТЫ по действующей сист16'!B34</f>
        <v>Мруалина Т.</v>
      </c>
      <c r="C30" s="56" t="s">
        <v>72</v>
      </c>
      <c r="D30" s="4" t="s">
        <v>35</v>
      </c>
      <c r="E30" s="4" t="s">
        <v>69</v>
      </c>
      <c r="F30" s="71"/>
      <c r="G30" s="71"/>
      <c r="H30" s="71" t="s">
        <v>65</v>
      </c>
      <c r="I30" s="12" t="s">
        <v>48</v>
      </c>
      <c r="J30" s="12" t="s">
        <v>49</v>
      </c>
      <c r="K30" s="5">
        <v>4</v>
      </c>
      <c r="L30" s="48">
        <v>17697</v>
      </c>
      <c r="M30" s="70">
        <v>0.5</v>
      </c>
      <c r="N30" s="48"/>
      <c r="O30" s="48">
        <v>2.68</v>
      </c>
      <c r="P30" s="48">
        <f t="shared" si="8"/>
        <v>47427.960000000006</v>
      </c>
      <c r="Q30" s="49">
        <f t="shared" si="5"/>
        <v>0</v>
      </c>
      <c r="R30" s="50">
        <f t="shared" si="9"/>
        <v>0</v>
      </c>
      <c r="S30" s="51">
        <f t="shared" si="10"/>
        <v>0.1</v>
      </c>
      <c r="T30" s="50">
        <f t="shared" si="11"/>
        <v>2371.4</v>
      </c>
      <c r="U30" s="52">
        <v>0.4</v>
      </c>
      <c r="V30" s="53">
        <f t="shared" si="7"/>
        <v>3539.4</v>
      </c>
      <c r="W30" s="53">
        <f t="shared" si="4"/>
        <v>29624.78</v>
      </c>
      <c r="X30" s="222">
        <f t="shared" si="12"/>
        <v>59249.56</v>
      </c>
      <c r="Z30" s="7" t="str">
        <f t="shared" si="16"/>
        <v>Мруалина Т.</v>
      </c>
      <c r="AA30" s="8">
        <f t="shared" si="17"/>
        <v>0.5</v>
      </c>
      <c r="AB30" s="8">
        <f>W30</f>
        <v>29624.78</v>
      </c>
      <c r="AC30" s="9"/>
      <c r="AD30" s="7"/>
      <c r="AE30" s="16"/>
      <c r="AF30" s="8"/>
    </row>
    <row r="31" spans="1:32" s="6" customFormat="1" ht="15" x14ac:dyDescent="0.25">
      <c r="A31" s="34">
        <v>22</v>
      </c>
      <c r="B31" s="46" t="str">
        <f>'[1]РАСЧЁТЫ по действующей сист16'!B38</f>
        <v>Жуманова М.С.</v>
      </c>
      <c r="C31" s="56" t="s">
        <v>73</v>
      </c>
      <c r="D31" s="4" t="s">
        <v>28</v>
      </c>
      <c r="E31" s="4">
        <v>1</v>
      </c>
      <c r="F31" s="4"/>
      <c r="G31" s="4"/>
      <c r="H31" s="4">
        <v>1</v>
      </c>
      <c r="I31" s="12"/>
      <c r="J31" s="12" t="s">
        <v>37</v>
      </c>
      <c r="K31" s="5">
        <v>2</v>
      </c>
      <c r="L31" s="48">
        <v>17697</v>
      </c>
      <c r="M31" s="70">
        <v>1</v>
      </c>
      <c r="N31" s="71"/>
      <c r="O31" s="48">
        <v>3.15</v>
      </c>
      <c r="P31" s="48">
        <f t="shared" si="8"/>
        <v>55745.549999999996</v>
      </c>
      <c r="Q31" s="49">
        <f t="shared" si="5"/>
        <v>0</v>
      </c>
      <c r="R31" s="50">
        <f t="shared" si="9"/>
        <v>0</v>
      </c>
      <c r="S31" s="51">
        <f t="shared" si="10"/>
        <v>0.1</v>
      </c>
      <c r="T31" s="50">
        <f t="shared" si="11"/>
        <v>5574.56</v>
      </c>
      <c r="U31" s="52">
        <v>0</v>
      </c>
      <c r="V31" s="53">
        <f t="shared" si="7"/>
        <v>0</v>
      </c>
      <c r="W31" s="53">
        <f t="shared" si="4"/>
        <v>61320.11</v>
      </c>
      <c r="X31" s="222">
        <f t="shared" si="12"/>
        <v>61320.11</v>
      </c>
      <c r="Z31" s="7" t="str">
        <f>B31</f>
        <v>Жуманова М.С.</v>
      </c>
      <c r="AA31" s="8">
        <f t="shared" si="17"/>
        <v>1</v>
      </c>
      <c r="AB31" s="8">
        <f>W31</f>
        <v>61320.11</v>
      </c>
      <c r="AC31" s="9"/>
      <c r="AD31" s="7"/>
      <c r="AE31" s="16"/>
      <c r="AF31" s="8"/>
    </row>
    <row r="32" spans="1:32" s="6" customFormat="1" ht="30" x14ac:dyDescent="0.25">
      <c r="A32" s="34">
        <v>23</v>
      </c>
      <c r="B32" s="46" t="s">
        <v>74</v>
      </c>
      <c r="C32" s="56" t="s">
        <v>75</v>
      </c>
      <c r="D32" s="4" t="s">
        <v>28</v>
      </c>
      <c r="E32" s="4" t="s">
        <v>76</v>
      </c>
      <c r="F32" s="4"/>
      <c r="G32" s="4"/>
      <c r="H32" s="4">
        <v>1</v>
      </c>
      <c r="I32" s="12" t="s">
        <v>48</v>
      </c>
      <c r="J32" s="12" t="s">
        <v>56</v>
      </c>
      <c r="K32" s="5">
        <v>4</v>
      </c>
      <c r="L32" s="48">
        <v>17697</v>
      </c>
      <c r="M32" s="70">
        <v>1.25</v>
      </c>
      <c r="N32" s="71"/>
      <c r="O32" s="48">
        <v>2.92</v>
      </c>
      <c r="P32" s="48">
        <f t="shared" si="8"/>
        <v>51675.24</v>
      </c>
      <c r="Q32" s="49">
        <f t="shared" si="5"/>
        <v>0</v>
      </c>
      <c r="R32" s="50">
        <f t="shared" si="9"/>
        <v>0</v>
      </c>
      <c r="S32" s="51">
        <f t="shared" si="10"/>
        <v>0.1</v>
      </c>
      <c r="T32" s="50">
        <f t="shared" si="11"/>
        <v>6459.41</v>
      </c>
      <c r="U32" s="52">
        <v>0.4</v>
      </c>
      <c r="V32" s="53">
        <f t="shared" si="7"/>
        <v>8848.5</v>
      </c>
      <c r="W32" s="53">
        <f t="shared" si="4"/>
        <v>79901.960000000006</v>
      </c>
      <c r="X32" s="222">
        <f t="shared" si="12"/>
        <v>63921.568000000007</v>
      </c>
      <c r="Z32" s="7"/>
      <c r="AA32" s="8">
        <f t="shared" si="17"/>
        <v>1.25</v>
      </c>
      <c r="AB32" s="8"/>
      <c r="AC32" s="9"/>
      <c r="AD32" s="7" t="str">
        <f t="shared" ref="AD32:AD43" si="18">B32</f>
        <v>Оразалинов Б.Ж.</v>
      </c>
      <c r="AE32" s="16">
        <f t="shared" ref="AE32:AE43" si="19">M32</f>
        <v>1.25</v>
      </c>
      <c r="AF32" s="8">
        <f t="shared" ref="AF32:AF43" si="20">W32</f>
        <v>79901.960000000006</v>
      </c>
    </row>
    <row r="33" spans="1:32" s="6" customFormat="1" ht="15" x14ac:dyDescent="0.25">
      <c r="A33" s="34">
        <v>24</v>
      </c>
      <c r="B33" s="46" t="s">
        <v>77</v>
      </c>
      <c r="C33" s="56" t="s">
        <v>78</v>
      </c>
      <c r="D33" s="4" t="s">
        <v>28</v>
      </c>
      <c r="E33" s="4" t="s">
        <v>79</v>
      </c>
      <c r="F33" s="4"/>
      <c r="G33" s="4"/>
      <c r="H33" s="4">
        <v>1</v>
      </c>
      <c r="I33" s="12" t="s">
        <v>48</v>
      </c>
      <c r="J33" s="12" t="s">
        <v>56</v>
      </c>
      <c r="K33" s="5">
        <v>4</v>
      </c>
      <c r="L33" s="48">
        <v>17697</v>
      </c>
      <c r="M33" s="70">
        <v>1.25</v>
      </c>
      <c r="N33" s="71"/>
      <c r="O33" s="48">
        <v>3.04</v>
      </c>
      <c r="P33" s="48">
        <f t="shared" si="8"/>
        <v>53798.879999999997</v>
      </c>
      <c r="Q33" s="49">
        <f t="shared" si="5"/>
        <v>0</v>
      </c>
      <c r="R33" s="50">
        <f t="shared" si="9"/>
        <v>0</v>
      </c>
      <c r="S33" s="51">
        <f t="shared" si="10"/>
        <v>0.1</v>
      </c>
      <c r="T33" s="50">
        <f t="shared" si="11"/>
        <v>6724.86</v>
      </c>
      <c r="U33" s="52">
        <v>0.4</v>
      </c>
      <c r="V33" s="53">
        <f t="shared" si="7"/>
        <v>8848.5</v>
      </c>
      <c r="W33" s="53">
        <f t="shared" si="4"/>
        <v>82821.960000000006</v>
      </c>
      <c r="X33" s="222">
        <f>W33/M33</f>
        <v>66257.567999999999</v>
      </c>
      <c r="Z33" s="7"/>
      <c r="AA33" s="8">
        <f t="shared" si="17"/>
        <v>1.25</v>
      </c>
      <c r="AB33" s="8"/>
      <c r="AC33" s="13"/>
      <c r="AD33" s="7" t="str">
        <f t="shared" si="18"/>
        <v>Слуту Л.С.</v>
      </c>
      <c r="AE33" s="16">
        <f t="shared" si="19"/>
        <v>1.25</v>
      </c>
      <c r="AF33" s="8">
        <f t="shared" si="20"/>
        <v>82821.960000000006</v>
      </c>
    </row>
    <row r="34" spans="1:32" s="6" customFormat="1" ht="15" x14ac:dyDescent="0.25">
      <c r="A34" s="34">
        <v>25</v>
      </c>
      <c r="B34" s="46" t="str">
        <f>'[1]РАСЧЁТЫ по действующей сист16'!B43</f>
        <v>Жампеисова М.Б.</v>
      </c>
      <c r="C34" s="56" t="s">
        <v>78</v>
      </c>
      <c r="D34" s="4" t="s">
        <v>35</v>
      </c>
      <c r="E34" s="4" t="s">
        <v>80</v>
      </c>
      <c r="F34" s="71"/>
      <c r="G34" s="71"/>
      <c r="H34" s="71" t="s">
        <v>65</v>
      </c>
      <c r="I34" s="12" t="s">
        <v>48</v>
      </c>
      <c r="J34" s="12" t="s">
        <v>49</v>
      </c>
      <c r="K34" s="5">
        <v>4</v>
      </c>
      <c r="L34" s="48">
        <v>17697</v>
      </c>
      <c r="M34" s="70">
        <v>1.25</v>
      </c>
      <c r="N34" s="5"/>
      <c r="O34" s="48">
        <v>2.5299999999999998</v>
      </c>
      <c r="P34" s="48">
        <f t="shared" si="8"/>
        <v>44773.409999999996</v>
      </c>
      <c r="Q34" s="49">
        <f t="shared" si="5"/>
        <v>0</v>
      </c>
      <c r="R34" s="50">
        <f t="shared" si="9"/>
        <v>0</v>
      </c>
      <c r="S34" s="51">
        <f t="shared" si="10"/>
        <v>0.1</v>
      </c>
      <c r="T34" s="50">
        <f t="shared" si="11"/>
        <v>5596.68</v>
      </c>
      <c r="U34" s="52">
        <v>0.4</v>
      </c>
      <c r="V34" s="53">
        <f t="shared" si="7"/>
        <v>8848.5</v>
      </c>
      <c r="W34" s="53">
        <f t="shared" si="4"/>
        <v>70411.94</v>
      </c>
      <c r="X34" s="222">
        <f t="shared" ref="X34:X49" si="21">W34/M34</f>
        <v>56329.552000000003</v>
      </c>
      <c r="Z34" s="7"/>
      <c r="AA34" s="8"/>
      <c r="AB34" s="8"/>
      <c r="AC34" s="13"/>
      <c r="AD34" s="7" t="str">
        <f t="shared" si="18"/>
        <v>Жампеисова М.Б.</v>
      </c>
      <c r="AE34" s="16">
        <f t="shared" si="19"/>
        <v>1.25</v>
      </c>
      <c r="AF34" s="8">
        <f t="shared" si="20"/>
        <v>70411.94</v>
      </c>
    </row>
    <row r="35" spans="1:32" s="6" customFormat="1" ht="15" x14ac:dyDescent="0.25">
      <c r="A35" s="34">
        <v>26</v>
      </c>
      <c r="B35" s="46" t="s">
        <v>81</v>
      </c>
      <c r="C35" s="56" t="s">
        <v>78</v>
      </c>
      <c r="D35" s="4" t="s">
        <v>35</v>
      </c>
      <c r="E35" s="4" t="s">
        <v>82</v>
      </c>
      <c r="F35" s="71"/>
      <c r="G35" s="71"/>
      <c r="H35" s="71" t="s">
        <v>65</v>
      </c>
      <c r="I35" s="12" t="s">
        <v>48</v>
      </c>
      <c r="J35" s="12" t="s">
        <v>49</v>
      </c>
      <c r="K35" s="5">
        <v>2</v>
      </c>
      <c r="L35" s="48">
        <v>17697</v>
      </c>
      <c r="M35" s="70">
        <v>1.25</v>
      </c>
      <c r="N35" s="5">
        <v>1</v>
      </c>
      <c r="O35" s="48">
        <v>3.41</v>
      </c>
      <c r="P35" s="48">
        <f t="shared" si="8"/>
        <v>60346.770000000004</v>
      </c>
      <c r="Q35" s="49">
        <f t="shared" si="5"/>
        <v>0</v>
      </c>
      <c r="R35" s="50">
        <f t="shared" si="9"/>
        <v>0</v>
      </c>
      <c r="S35" s="51">
        <f t="shared" si="10"/>
        <v>0.1</v>
      </c>
      <c r="T35" s="50">
        <f t="shared" si="11"/>
        <v>7543.35</v>
      </c>
      <c r="U35" s="52">
        <v>0.4</v>
      </c>
      <c r="V35" s="53">
        <f t="shared" si="7"/>
        <v>8848.5</v>
      </c>
      <c r="W35" s="53">
        <f t="shared" si="4"/>
        <v>91825.31</v>
      </c>
      <c r="X35" s="222">
        <f t="shared" si="21"/>
        <v>73460.247999999992</v>
      </c>
      <c r="Z35" s="7"/>
      <c r="AA35" s="8"/>
      <c r="AB35" s="8"/>
      <c r="AC35" s="13"/>
      <c r="AD35" s="7" t="str">
        <f t="shared" si="18"/>
        <v>Абдулова Е.В.</v>
      </c>
      <c r="AE35" s="16">
        <f t="shared" si="19"/>
        <v>1.25</v>
      </c>
      <c r="AF35" s="8">
        <f t="shared" si="20"/>
        <v>91825.31</v>
      </c>
    </row>
    <row r="36" spans="1:32" s="6" customFormat="1" ht="15" x14ac:dyDescent="0.25">
      <c r="A36" s="34">
        <v>27</v>
      </c>
      <c r="B36" s="46" t="str">
        <f>'[1]РАСЧЁТЫ по действующей сист16'!B45</f>
        <v>Болпак  У.Б.</v>
      </c>
      <c r="C36" s="56" t="s">
        <v>78</v>
      </c>
      <c r="D36" s="4" t="s">
        <v>28</v>
      </c>
      <c r="E36" s="4" t="s">
        <v>83</v>
      </c>
      <c r="F36" s="71"/>
      <c r="G36" s="71"/>
      <c r="H36" s="71" t="s">
        <v>65</v>
      </c>
      <c r="I36" s="12" t="s">
        <v>48</v>
      </c>
      <c r="J36" s="12" t="s">
        <v>56</v>
      </c>
      <c r="K36" s="5">
        <v>4</v>
      </c>
      <c r="L36" s="48">
        <v>17697</v>
      </c>
      <c r="M36" s="70">
        <v>1.25</v>
      </c>
      <c r="N36" s="5"/>
      <c r="O36" s="48">
        <v>3.04</v>
      </c>
      <c r="P36" s="48">
        <f t="shared" si="8"/>
        <v>53798.879999999997</v>
      </c>
      <c r="Q36" s="49">
        <f t="shared" si="5"/>
        <v>0</v>
      </c>
      <c r="R36" s="50">
        <f t="shared" si="9"/>
        <v>0</v>
      </c>
      <c r="S36" s="51">
        <f t="shared" si="10"/>
        <v>0.1</v>
      </c>
      <c r="T36" s="50">
        <f t="shared" si="11"/>
        <v>6724.86</v>
      </c>
      <c r="U36" s="52">
        <v>0.4</v>
      </c>
      <c r="V36" s="53">
        <f t="shared" si="7"/>
        <v>8848.5</v>
      </c>
      <c r="W36" s="53">
        <f t="shared" si="4"/>
        <v>82821.960000000006</v>
      </c>
      <c r="X36" s="222">
        <f t="shared" si="21"/>
        <v>66257.567999999999</v>
      </c>
      <c r="Z36" s="7"/>
      <c r="AA36" s="8"/>
      <c r="AB36" s="8"/>
      <c r="AC36" s="13"/>
      <c r="AD36" s="7" t="str">
        <f t="shared" si="18"/>
        <v>Болпак  У.Б.</v>
      </c>
      <c r="AE36" s="16">
        <f t="shared" si="19"/>
        <v>1.25</v>
      </c>
      <c r="AF36" s="8">
        <f t="shared" si="20"/>
        <v>82821.960000000006</v>
      </c>
    </row>
    <row r="37" spans="1:32" s="6" customFormat="1" ht="15" x14ac:dyDescent="0.25">
      <c r="A37" s="34">
        <v>28</v>
      </c>
      <c r="B37" s="46" t="s">
        <v>84</v>
      </c>
      <c r="C37" s="56" t="s">
        <v>78</v>
      </c>
      <c r="D37" s="12" t="s">
        <v>28</v>
      </c>
      <c r="E37" s="12" t="s">
        <v>85</v>
      </c>
      <c r="F37" s="71"/>
      <c r="G37" s="71"/>
      <c r="H37" s="71" t="s">
        <v>65</v>
      </c>
      <c r="I37" s="12" t="s">
        <v>48</v>
      </c>
      <c r="J37" s="12" t="s">
        <v>56</v>
      </c>
      <c r="K37" s="5">
        <v>2</v>
      </c>
      <c r="L37" s="48">
        <v>17697</v>
      </c>
      <c r="M37" s="70">
        <v>1.25</v>
      </c>
      <c r="N37" s="5">
        <v>1</v>
      </c>
      <c r="O37" s="48">
        <v>3.68</v>
      </c>
      <c r="P37" s="48">
        <f t="shared" si="8"/>
        <v>65124.960000000006</v>
      </c>
      <c r="Q37" s="49">
        <f t="shared" si="5"/>
        <v>0</v>
      </c>
      <c r="R37" s="50">
        <f t="shared" si="9"/>
        <v>0</v>
      </c>
      <c r="S37" s="51">
        <f t="shared" si="10"/>
        <v>0.1</v>
      </c>
      <c r="T37" s="50">
        <f t="shared" si="11"/>
        <v>8140.62</v>
      </c>
      <c r="U37" s="52">
        <v>0.4</v>
      </c>
      <c r="V37" s="53">
        <f t="shared" si="7"/>
        <v>8848.5</v>
      </c>
      <c r="W37" s="53">
        <f t="shared" si="4"/>
        <v>98395.32</v>
      </c>
      <c r="X37" s="222">
        <f t="shared" si="21"/>
        <v>78716.256000000008</v>
      </c>
      <c r="Z37" s="7"/>
      <c r="AA37" s="8"/>
      <c r="AB37" s="8"/>
      <c r="AC37" s="13"/>
      <c r="AD37" s="7" t="str">
        <f t="shared" si="18"/>
        <v>Абыкеева К.К</v>
      </c>
      <c r="AE37" s="16">
        <f t="shared" si="19"/>
        <v>1.25</v>
      </c>
      <c r="AF37" s="8">
        <f t="shared" si="20"/>
        <v>98395.32</v>
      </c>
    </row>
    <row r="38" spans="1:32" s="6" customFormat="1" ht="15" x14ac:dyDescent="0.25">
      <c r="A38" s="34">
        <v>29</v>
      </c>
      <c r="B38" s="46" t="str">
        <f>'[1]РАСЧЁТЫ по действующей сист16'!B47</f>
        <v>Рыскалиева Г.С.</v>
      </c>
      <c r="C38" s="56" t="s">
        <v>78</v>
      </c>
      <c r="D38" s="12" t="s">
        <v>28</v>
      </c>
      <c r="E38" s="12" t="s">
        <v>86</v>
      </c>
      <c r="F38" s="71"/>
      <c r="G38" s="71"/>
      <c r="H38" s="71" t="s">
        <v>65</v>
      </c>
      <c r="I38" s="12" t="s">
        <v>48</v>
      </c>
      <c r="J38" s="12" t="s">
        <v>56</v>
      </c>
      <c r="K38" s="5">
        <v>3</v>
      </c>
      <c r="L38" s="48">
        <v>17697</v>
      </c>
      <c r="M38" s="70">
        <v>1.25</v>
      </c>
      <c r="N38" s="5">
        <v>2</v>
      </c>
      <c r="O38" s="48">
        <v>3.57</v>
      </c>
      <c r="P38" s="48">
        <f t="shared" si="8"/>
        <v>63178.289999999994</v>
      </c>
      <c r="Q38" s="49">
        <f t="shared" si="5"/>
        <v>0</v>
      </c>
      <c r="R38" s="50">
        <f t="shared" si="9"/>
        <v>0</v>
      </c>
      <c r="S38" s="51">
        <f t="shared" si="10"/>
        <v>0.1</v>
      </c>
      <c r="T38" s="50">
        <f t="shared" si="11"/>
        <v>7897.29</v>
      </c>
      <c r="U38" s="52">
        <v>0.4</v>
      </c>
      <c r="V38" s="53">
        <f t="shared" si="7"/>
        <v>8848.5</v>
      </c>
      <c r="W38" s="53">
        <f t="shared" si="4"/>
        <v>95718.65</v>
      </c>
      <c r="X38" s="222">
        <f t="shared" si="21"/>
        <v>76574.92</v>
      </c>
      <c r="Z38" s="7"/>
      <c r="AA38" s="8"/>
      <c r="AB38" s="8"/>
      <c r="AC38" s="13"/>
      <c r="AD38" s="7" t="str">
        <f t="shared" si="18"/>
        <v>Рыскалиева Г.С.</v>
      </c>
      <c r="AE38" s="16">
        <f t="shared" si="19"/>
        <v>1.25</v>
      </c>
      <c r="AF38" s="8">
        <f t="shared" si="20"/>
        <v>95718.65</v>
      </c>
    </row>
    <row r="39" spans="1:32" s="6" customFormat="1" ht="15" x14ac:dyDescent="0.25">
      <c r="A39" s="34">
        <v>30</v>
      </c>
      <c r="B39" s="46" t="s">
        <v>87</v>
      </c>
      <c r="C39" s="56" t="s">
        <v>78</v>
      </c>
      <c r="D39" s="12" t="s">
        <v>28</v>
      </c>
      <c r="E39" s="71" t="s">
        <v>88</v>
      </c>
      <c r="F39" s="71"/>
      <c r="G39" s="71"/>
      <c r="H39" s="71" t="s">
        <v>65</v>
      </c>
      <c r="I39" s="12" t="s">
        <v>48</v>
      </c>
      <c r="J39" s="12" t="s">
        <v>56</v>
      </c>
      <c r="K39" s="5">
        <v>2</v>
      </c>
      <c r="L39" s="48">
        <v>17697</v>
      </c>
      <c r="M39" s="70">
        <v>1.25</v>
      </c>
      <c r="N39" s="5">
        <v>1</v>
      </c>
      <c r="O39" s="48">
        <v>3.86</v>
      </c>
      <c r="P39" s="48">
        <f t="shared" si="8"/>
        <v>68310.42</v>
      </c>
      <c r="Q39" s="49">
        <f t="shared" si="5"/>
        <v>0</v>
      </c>
      <c r="R39" s="50">
        <f t="shared" si="9"/>
        <v>0</v>
      </c>
      <c r="S39" s="51">
        <f t="shared" si="10"/>
        <v>0.1</v>
      </c>
      <c r="T39" s="50">
        <f t="shared" si="11"/>
        <v>8538.7999999999993</v>
      </c>
      <c r="U39" s="52">
        <v>0.4</v>
      </c>
      <c r="V39" s="53">
        <f t="shared" si="7"/>
        <v>8848.5</v>
      </c>
      <c r="W39" s="53">
        <f t="shared" si="4"/>
        <v>102775.33</v>
      </c>
      <c r="X39" s="222">
        <f t="shared" si="21"/>
        <v>82220.263999999996</v>
      </c>
      <c r="Z39" s="7"/>
      <c r="AA39" s="8"/>
      <c r="AB39" s="8"/>
      <c r="AC39" s="13"/>
      <c r="AD39" s="7" t="str">
        <f t="shared" si="18"/>
        <v>Жанзакова З. К.</v>
      </c>
      <c r="AE39" s="16">
        <f t="shared" si="19"/>
        <v>1.25</v>
      </c>
      <c r="AF39" s="8">
        <f t="shared" si="20"/>
        <v>102775.33</v>
      </c>
    </row>
    <row r="40" spans="1:32" s="6" customFormat="1" ht="15" x14ac:dyDescent="0.25">
      <c r="A40" s="34">
        <v>31</v>
      </c>
      <c r="B40" s="46" t="str">
        <f>'[1]РАСЧЁТЫ по действующей сист16'!B50</f>
        <v>Инкарбаева М.Ж.</v>
      </c>
      <c r="C40" s="56" t="s">
        <v>78</v>
      </c>
      <c r="D40" s="12" t="s">
        <v>28</v>
      </c>
      <c r="E40" s="71" t="s">
        <v>89</v>
      </c>
      <c r="F40" s="71"/>
      <c r="G40" s="71"/>
      <c r="H40" s="71" t="s">
        <v>65</v>
      </c>
      <c r="I40" s="12" t="s">
        <v>48</v>
      </c>
      <c r="J40" s="12" t="s">
        <v>56</v>
      </c>
      <c r="K40" s="5">
        <v>3</v>
      </c>
      <c r="L40" s="48">
        <v>17697</v>
      </c>
      <c r="M40" s="70">
        <v>1.25</v>
      </c>
      <c r="N40" s="5">
        <v>2</v>
      </c>
      <c r="O40" s="48">
        <v>3.45</v>
      </c>
      <c r="P40" s="48">
        <f t="shared" si="8"/>
        <v>61054.65</v>
      </c>
      <c r="Q40" s="49">
        <f t="shared" si="5"/>
        <v>0</v>
      </c>
      <c r="R40" s="50">
        <f t="shared" si="9"/>
        <v>0</v>
      </c>
      <c r="S40" s="51">
        <f t="shared" si="10"/>
        <v>0.1</v>
      </c>
      <c r="T40" s="50">
        <f t="shared" si="11"/>
        <v>7631.83</v>
      </c>
      <c r="U40" s="52">
        <v>0.4</v>
      </c>
      <c r="V40" s="53">
        <f t="shared" si="7"/>
        <v>8848.5</v>
      </c>
      <c r="W40" s="53">
        <f t="shared" si="4"/>
        <v>92798.64</v>
      </c>
      <c r="X40" s="222">
        <f t="shared" si="21"/>
        <v>74238.911999999997</v>
      </c>
      <c r="Z40" s="7"/>
      <c r="AA40" s="8"/>
      <c r="AB40" s="8"/>
      <c r="AC40" s="13"/>
      <c r="AD40" s="7" t="str">
        <f t="shared" si="18"/>
        <v>Инкарбаева М.Ж.</v>
      </c>
      <c r="AE40" s="16">
        <f t="shared" si="19"/>
        <v>1.25</v>
      </c>
      <c r="AF40" s="8">
        <f t="shared" si="20"/>
        <v>92798.64</v>
      </c>
    </row>
    <row r="41" spans="1:32" s="6" customFormat="1" ht="15" x14ac:dyDescent="0.25">
      <c r="A41" s="34">
        <v>32</v>
      </c>
      <c r="B41" s="46" t="str">
        <f>'[1]РАСЧЁТЫ по действующей сист16'!B51</f>
        <v>Молдабаева А.Д.</v>
      </c>
      <c r="C41" s="56" t="s">
        <v>78</v>
      </c>
      <c r="D41" s="12" t="s">
        <v>28</v>
      </c>
      <c r="E41" s="71" t="s">
        <v>90</v>
      </c>
      <c r="F41" s="71"/>
      <c r="G41" s="71"/>
      <c r="H41" s="71" t="s">
        <v>65</v>
      </c>
      <c r="I41" s="12" t="s">
        <v>48</v>
      </c>
      <c r="J41" s="12" t="s">
        <v>56</v>
      </c>
      <c r="K41" s="5">
        <v>4</v>
      </c>
      <c r="L41" s="48">
        <v>17697</v>
      </c>
      <c r="M41" s="70">
        <v>1.25</v>
      </c>
      <c r="N41" s="71"/>
      <c r="O41" s="48">
        <v>2.82</v>
      </c>
      <c r="P41" s="48">
        <f t="shared" si="8"/>
        <v>49905.539999999994</v>
      </c>
      <c r="Q41" s="49">
        <f t="shared" si="5"/>
        <v>0</v>
      </c>
      <c r="R41" s="50">
        <f t="shared" si="9"/>
        <v>0</v>
      </c>
      <c r="S41" s="51">
        <f t="shared" si="10"/>
        <v>0.1</v>
      </c>
      <c r="T41" s="50">
        <f t="shared" si="11"/>
        <v>6238.19</v>
      </c>
      <c r="U41" s="52">
        <v>0.4</v>
      </c>
      <c r="V41" s="53">
        <f t="shared" si="7"/>
        <v>8848.5</v>
      </c>
      <c r="W41" s="53">
        <f t="shared" si="4"/>
        <v>77468.62</v>
      </c>
      <c r="X41" s="222">
        <f t="shared" si="21"/>
        <v>61974.895999999993</v>
      </c>
      <c r="Z41" s="7"/>
      <c r="AA41" s="8"/>
      <c r="AB41" s="8"/>
      <c r="AC41" s="13"/>
      <c r="AD41" s="7" t="str">
        <f t="shared" si="18"/>
        <v>Молдабаева А.Д.</v>
      </c>
      <c r="AE41" s="16">
        <f t="shared" si="19"/>
        <v>1.25</v>
      </c>
      <c r="AF41" s="8">
        <f t="shared" si="20"/>
        <v>77468.62</v>
      </c>
    </row>
    <row r="42" spans="1:32" s="6" customFormat="1" ht="15" x14ac:dyDescent="0.25">
      <c r="A42" s="34">
        <v>33</v>
      </c>
      <c r="B42" s="46" t="str">
        <f>'[1]РАСЧЁТЫ по действующей сист16'!B52</f>
        <v>Манарова Р.О.</v>
      </c>
      <c r="C42" s="56" t="s">
        <v>78</v>
      </c>
      <c r="D42" s="12" t="s">
        <v>28</v>
      </c>
      <c r="E42" s="71" t="s">
        <v>91</v>
      </c>
      <c r="F42" s="71"/>
      <c r="G42" s="71"/>
      <c r="H42" s="71" t="s">
        <v>65</v>
      </c>
      <c r="I42" s="12" t="s">
        <v>48</v>
      </c>
      <c r="J42" s="12" t="s">
        <v>56</v>
      </c>
      <c r="K42" s="5">
        <v>4</v>
      </c>
      <c r="L42" s="48">
        <v>17697</v>
      </c>
      <c r="M42" s="70">
        <v>1.25</v>
      </c>
      <c r="N42" s="71"/>
      <c r="O42" s="48">
        <v>3.28</v>
      </c>
      <c r="P42" s="48">
        <f t="shared" si="8"/>
        <v>58046.159999999996</v>
      </c>
      <c r="Q42" s="49">
        <f t="shared" si="5"/>
        <v>0</v>
      </c>
      <c r="R42" s="50">
        <f t="shared" si="9"/>
        <v>0</v>
      </c>
      <c r="S42" s="51">
        <f t="shared" si="10"/>
        <v>0.1</v>
      </c>
      <c r="T42" s="50">
        <f t="shared" si="11"/>
        <v>7255.77</v>
      </c>
      <c r="U42" s="52">
        <v>0.4</v>
      </c>
      <c r="V42" s="53">
        <f t="shared" si="7"/>
        <v>8848.5</v>
      </c>
      <c r="W42" s="53">
        <f t="shared" si="4"/>
        <v>88661.97</v>
      </c>
      <c r="X42" s="222">
        <f t="shared" si="21"/>
        <v>70929.576000000001</v>
      </c>
      <c r="Z42" s="7"/>
      <c r="AA42" s="8"/>
      <c r="AB42" s="8"/>
      <c r="AC42" s="13"/>
      <c r="AD42" s="7" t="str">
        <f t="shared" si="18"/>
        <v>Манарова Р.О.</v>
      </c>
      <c r="AE42" s="16">
        <f t="shared" si="19"/>
        <v>1.25</v>
      </c>
      <c r="AF42" s="8">
        <f t="shared" si="20"/>
        <v>88661.97</v>
      </c>
    </row>
    <row r="43" spans="1:32" s="6" customFormat="1" ht="45" x14ac:dyDescent="0.25">
      <c r="A43" s="34">
        <v>34</v>
      </c>
      <c r="B43" s="46" t="str">
        <f>'[1]РАСЧЁТЫ по действующей сист16'!B73</f>
        <v>Никифоров Л.</v>
      </c>
      <c r="C43" s="56" t="s">
        <v>92</v>
      </c>
      <c r="D43" s="4" t="s">
        <v>28</v>
      </c>
      <c r="E43" s="4" t="s">
        <v>93</v>
      </c>
      <c r="F43" s="4"/>
      <c r="G43" s="4"/>
      <c r="H43" s="4">
        <v>1</v>
      </c>
      <c r="I43" s="12"/>
      <c r="J43" s="12"/>
      <c r="K43" s="5" t="s">
        <v>94</v>
      </c>
      <c r="L43" s="48">
        <v>17697</v>
      </c>
      <c r="M43" s="70">
        <v>0.25</v>
      </c>
      <c r="N43" s="71"/>
      <c r="O43" s="48">
        <v>1.84</v>
      </c>
      <c r="P43" s="48">
        <f t="shared" si="8"/>
        <v>32562.480000000003</v>
      </c>
      <c r="Q43" s="49">
        <f t="shared" si="5"/>
        <v>0</v>
      </c>
      <c r="R43" s="50">
        <f t="shared" si="9"/>
        <v>0</v>
      </c>
      <c r="S43" s="51">
        <f t="shared" si="10"/>
        <v>0.1</v>
      </c>
      <c r="T43" s="50">
        <f t="shared" si="11"/>
        <v>814.06</v>
      </c>
      <c r="U43" s="52"/>
      <c r="V43" s="53">
        <f t="shared" si="7"/>
        <v>0</v>
      </c>
      <c r="W43" s="53">
        <f t="shared" ref="W43:W49" si="22">ROUND(P43*M43+T43+R43+V43,2)</f>
        <v>8954.68</v>
      </c>
      <c r="X43" s="222">
        <f t="shared" si="21"/>
        <v>35818.720000000001</v>
      </c>
      <c r="Z43" s="7"/>
      <c r="AA43" s="8"/>
      <c r="AB43" s="8"/>
      <c r="AC43" s="9"/>
      <c r="AD43" s="7" t="str">
        <f t="shared" si="18"/>
        <v>Никифоров Л.</v>
      </c>
      <c r="AE43" s="16">
        <f t="shared" si="19"/>
        <v>0.25</v>
      </c>
      <c r="AF43" s="8">
        <f t="shared" si="20"/>
        <v>8954.68</v>
      </c>
    </row>
    <row r="44" spans="1:32" s="6" customFormat="1" ht="15" x14ac:dyDescent="0.25">
      <c r="A44" s="34">
        <v>35</v>
      </c>
      <c r="B44" s="46" t="str">
        <f>'[1]РАСЧЁТЫ по действующей сист16'!B76</f>
        <v>Кабылдина Л.Ж.</v>
      </c>
      <c r="C44" s="56" t="s">
        <v>95</v>
      </c>
      <c r="D44" s="4" t="s">
        <v>35</v>
      </c>
      <c r="E44" s="71" t="s">
        <v>41</v>
      </c>
      <c r="F44" s="71"/>
      <c r="G44" s="71"/>
      <c r="H44" s="71" t="s">
        <v>65</v>
      </c>
      <c r="I44" s="12"/>
      <c r="J44" s="12"/>
      <c r="K44" s="5" t="s">
        <v>94</v>
      </c>
      <c r="L44" s="48">
        <v>17697</v>
      </c>
      <c r="M44" s="70">
        <v>1.25</v>
      </c>
      <c r="N44" s="57"/>
      <c r="O44" s="48">
        <v>1.64</v>
      </c>
      <c r="P44" s="48">
        <f t="shared" si="8"/>
        <v>29023.079999999998</v>
      </c>
      <c r="Q44" s="49">
        <f t="shared" si="5"/>
        <v>0</v>
      </c>
      <c r="R44" s="50">
        <f t="shared" si="9"/>
        <v>0</v>
      </c>
      <c r="S44" s="51">
        <f t="shared" si="10"/>
        <v>0.1</v>
      </c>
      <c r="T44" s="50">
        <f t="shared" si="11"/>
        <v>3627.89</v>
      </c>
      <c r="U44" s="52">
        <v>0.7</v>
      </c>
      <c r="V44" s="53">
        <f t="shared" si="7"/>
        <v>15484.875</v>
      </c>
      <c r="W44" s="53">
        <f t="shared" si="22"/>
        <v>55391.62</v>
      </c>
      <c r="X44" s="222">
        <f t="shared" si="21"/>
        <v>44313.296000000002</v>
      </c>
      <c r="Z44" s="7" t="str">
        <f t="shared" ref="Z44:Z48" si="23">B44</f>
        <v>Кабылдина Л.Ж.</v>
      </c>
      <c r="AA44" s="8">
        <f>M44</f>
        <v>1.25</v>
      </c>
      <c r="AB44" s="8">
        <f>W44</f>
        <v>55391.62</v>
      </c>
      <c r="AC44" s="9"/>
      <c r="AD44" s="7"/>
      <c r="AE44" s="16"/>
      <c r="AF44" s="8"/>
    </row>
    <row r="45" spans="1:32" s="6" customFormat="1" ht="15" x14ac:dyDescent="0.25">
      <c r="A45" s="34">
        <v>36</v>
      </c>
      <c r="B45" s="46" t="str">
        <f>'[1]РАСЧЁТЫ по действующей сист16'!B77</f>
        <v>Сагимбаева Ж.Ж.</v>
      </c>
      <c r="C45" s="56" t="s">
        <v>95</v>
      </c>
      <c r="D45" s="4" t="s">
        <v>35</v>
      </c>
      <c r="E45" s="71" t="s">
        <v>96</v>
      </c>
      <c r="F45" s="71"/>
      <c r="G45" s="71"/>
      <c r="H45" s="71" t="s">
        <v>65</v>
      </c>
      <c r="I45" s="12"/>
      <c r="J45" s="12"/>
      <c r="K45" s="5" t="s">
        <v>94</v>
      </c>
      <c r="L45" s="48">
        <v>17697</v>
      </c>
      <c r="M45" s="70">
        <v>1.25</v>
      </c>
      <c r="N45" s="57"/>
      <c r="O45" s="48">
        <v>1.84</v>
      </c>
      <c r="P45" s="48">
        <f t="shared" si="8"/>
        <v>32562.480000000003</v>
      </c>
      <c r="Q45" s="49">
        <f t="shared" si="5"/>
        <v>0</v>
      </c>
      <c r="R45" s="50">
        <f t="shared" si="9"/>
        <v>0</v>
      </c>
      <c r="S45" s="51">
        <f t="shared" si="10"/>
        <v>0.1</v>
      </c>
      <c r="T45" s="50">
        <f t="shared" si="11"/>
        <v>4070.31</v>
      </c>
      <c r="U45" s="52">
        <v>0.7</v>
      </c>
      <c r="V45" s="53">
        <f t="shared" si="7"/>
        <v>15484.875</v>
      </c>
      <c r="W45" s="53">
        <f t="shared" si="22"/>
        <v>60258.29</v>
      </c>
      <c r="X45" s="222">
        <f t="shared" si="21"/>
        <v>48206.631999999998</v>
      </c>
      <c r="Z45" s="7" t="str">
        <f t="shared" si="23"/>
        <v>Сагимбаева Ж.Ж.</v>
      </c>
      <c r="AA45" s="8">
        <f>M45</f>
        <v>1.25</v>
      </c>
      <c r="AB45" s="8">
        <f>W45</f>
        <v>60258.29</v>
      </c>
      <c r="AC45" s="9"/>
      <c r="AD45" s="7"/>
      <c r="AE45" s="16"/>
      <c r="AF45" s="8"/>
    </row>
    <row r="46" spans="1:32" s="6" customFormat="1" ht="15" x14ac:dyDescent="0.25">
      <c r="A46" s="34">
        <v>37</v>
      </c>
      <c r="B46" s="46" t="s">
        <v>97</v>
      </c>
      <c r="C46" s="56" t="s">
        <v>95</v>
      </c>
      <c r="D46" s="4" t="s">
        <v>35</v>
      </c>
      <c r="E46" s="71" t="s">
        <v>41</v>
      </c>
      <c r="F46" s="71"/>
      <c r="G46" s="71"/>
      <c r="H46" s="71" t="s">
        <v>65</v>
      </c>
      <c r="I46" s="12"/>
      <c r="J46" s="12"/>
      <c r="K46" s="5" t="s">
        <v>94</v>
      </c>
      <c r="L46" s="48">
        <v>17697</v>
      </c>
      <c r="M46" s="70">
        <v>1.25</v>
      </c>
      <c r="N46" s="57"/>
      <c r="O46" s="48">
        <v>1.64</v>
      </c>
      <c r="P46" s="48">
        <f t="shared" si="8"/>
        <v>29023.079999999998</v>
      </c>
      <c r="Q46" s="49">
        <f t="shared" si="5"/>
        <v>0</v>
      </c>
      <c r="R46" s="50">
        <f t="shared" si="9"/>
        <v>0</v>
      </c>
      <c r="S46" s="51">
        <f t="shared" si="10"/>
        <v>0.1</v>
      </c>
      <c r="T46" s="50">
        <f t="shared" si="11"/>
        <v>3627.89</v>
      </c>
      <c r="U46" s="52">
        <v>0.7</v>
      </c>
      <c r="V46" s="53">
        <f t="shared" si="7"/>
        <v>15484.875</v>
      </c>
      <c r="W46" s="53">
        <f t="shared" si="22"/>
        <v>55391.62</v>
      </c>
      <c r="X46" s="222">
        <f t="shared" si="21"/>
        <v>44313.296000000002</v>
      </c>
      <c r="Z46" s="7" t="str">
        <f t="shared" si="23"/>
        <v>Арынова С. Ж.</v>
      </c>
      <c r="AA46" s="8">
        <f>M46</f>
        <v>1.25</v>
      </c>
      <c r="AB46" s="8">
        <f>W46</f>
        <v>55391.62</v>
      </c>
      <c r="AC46" s="9"/>
      <c r="AD46" s="7"/>
      <c r="AE46" s="16"/>
      <c r="AF46" s="8"/>
    </row>
    <row r="47" spans="1:32" s="6" customFormat="1" ht="15" x14ac:dyDescent="0.25">
      <c r="A47" s="34">
        <v>38</v>
      </c>
      <c r="B47" s="46" t="str">
        <f>'[1]РАСЧЁТЫ по действующей сист16'!B79</f>
        <v>Арынова Б.</v>
      </c>
      <c r="C47" s="56" t="s">
        <v>95</v>
      </c>
      <c r="D47" s="4" t="s">
        <v>35</v>
      </c>
      <c r="E47" s="71" t="s">
        <v>41</v>
      </c>
      <c r="F47" s="71"/>
      <c r="G47" s="71"/>
      <c r="H47" s="71" t="s">
        <v>65</v>
      </c>
      <c r="I47" s="12"/>
      <c r="J47" s="12"/>
      <c r="K47" s="5" t="s">
        <v>94</v>
      </c>
      <c r="L47" s="48">
        <v>17697</v>
      </c>
      <c r="M47" s="70">
        <v>1.25</v>
      </c>
      <c r="N47" s="57"/>
      <c r="O47" s="48">
        <v>1.64</v>
      </c>
      <c r="P47" s="48">
        <f t="shared" si="8"/>
        <v>29023.079999999998</v>
      </c>
      <c r="Q47" s="49">
        <f t="shared" si="5"/>
        <v>0</v>
      </c>
      <c r="R47" s="50">
        <f t="shared" si="9"/>
        <v>0</v>
      </c>
      <c r="S47" s="51">
        <f t="shared" si="10"/>
        <v>0.1</v>
      </c>
      <c r="T47" s="50">
        <f t="shared" si="11"/>
        <v>3627.89</v>
      </c>
      <c r="U47" s="52">
        <v>0.7</v>
      </c>
      <c r="V47" s="53">
        <f t="shared" si="7"/>
        <v>15484.875</v>
      </c>
      <c r="W47" s="53">
        <f t="shared" si="22"/>
        <v>55391.62</v>
      </c>
      <c r="X47" s="222">
        <f t="shared" si="21"/>
        <v>44313.296000000002</v>
      </c>
      <c r="Z47" s="7" t="str">
        <f t="shared" si="23"/>
        <v>Арынова Б.</v>
      </c>
      <c r="AA47" s="8">
        <f>M47</f>
        <v>1.25</v>
      </c>
      <c r="AB47" s="8">
        <f>W47</f>
        <v>55391.62</v>
      </c>
      <c r="AC47" s="9"/>
      <c r="AD47" s="7"/>
      <c r="AE47" s="16"/>
      <c r="AF47" s="8"/>
    </row>
    <row r="48" spans="1:32" s="6" customFormat="1" ht="15" x14ac:dyDescent="0.25">
      <c r="A48" s="34">
        <v>39</v>
      </c>
      <c r="B48" s="46" t="str">
        <f>'[1]РАСЧЁТЫ по действующей сист16'!B80</f>
        <v>Ибрагимова К.К.</v>
      </c>
      <c r="C48" s="56" t="s">
        <v>95</v>
      </c>
      <c r="D48" s="4" t="s">
        <v>35</v>
      </c>
      <c r="E48" s="71" t="s">
        <v>98</v>
      </c>
      <c r="F48" s="71"/>
      <c r="G48" s="71"/>
      <c r="H48" s="71" t="s">
        <v>65</v>
      </c>
      <c r="I48" s="12"/>
      <c r="J48" s="12"/>
      <c r="K48" s="5" t="s">
        <v>94</v>
      </c>
      <c r="L48" s="48">
        <v>17697</v>
      </c>
      <c r="M48" s="70">
        <v>1.25</v>
      </c>
      <c r="N48" s="57"/>
      <c r="O48" s="48">
        <v>1.76</v>
      </c>
      <c r="P48" s="48">
        <f t="shared" si="8"/>
        <v>31146.720000000001</v>
      </c>
      <c r="Q48" s="49">
        <f t="shared" si="5"/>
        <v>0</v>
      </c>
      <c r="R48" s="50">
        <f t="shared" si="9"/>
        <v>0</v>
      </c>
      <c r="S48" s="51">
        <f t="shared" si="10"/>
        <v>0.1</v>
      </c>
      <c r="T48" s="50">
        <f t="shared" si="11"/>
        <v>3893.34</v>
      </c>
      <c r="U48" s="52">
        <v>0.7</v>
      </c>
      <c r="V48" s="53">
        <f t="shared" ref="V48:V49" si="24">L48*U48*M48</f>
        <v>15484.875</v>
      </c>
      <c r="W48" s="53">
        <f t="shared" si="22"/>
        <v>58311.62</v>
      </c>
      <c r="X48" s="222">
        <f t="shared" si="21"/>
        <v>46649.296000000002</v>
      </c>
      <c r="Z48" s="7" t="str">
        <f t="shared" si="23"/>
        <v>Ибрагимова К.К.</v>
      </c>
      <c r="AA48" s="8">
        <f>M48</f>
        <v>1.25</v>
      </c>
      <c r="AB48" s="8">
        <f>W48</f>
        <v>58311.62</v>
      </c>
      <c r="AC48" s="9"/>
      <c r="AD48" s="7"/>
      <c r="AE48" s="16"/>
      <c r="AF48" s="8"/>
    </row>
    <row r="49" spans="1:34" s="6" customFormat="1" ht="30.75" thickBot="1" x14ac:dyDescent="0.3">
      <c r="A49" s="34">
        <v>40</v>
      </c>
      <c r="B49" s="46" t="str">
        <f>'[1]РАСЧЁТЫ по действующей сист16'!B90</f>
        <v>Аллахвердиева И.В.</v>
      </c>
      <c r="C49" s="56" t="s">
        <v>99</v>
      </c>
      <c r="D49" s="4" t="s">
        <v>28</v>
      </c>
      <c r="E49" s="71" t="s">
        <v>100</v>
      </c>
      <c r="F49" s="71"/>
      <c r="G49" s="71"/>
      <c r="H49" s="71" t="s">
        <v>65</v>
      </c>
      <c r="I49" s="12" t="s">
        <v>48</v>
      </c>
      <c r="J49" s="12" t="s">
        <v>56</v>
      </c>
      <c r="K49" s="5">
        <v>1</v>
      </c>
      <c r="L49" s="48">
        <v>17697</v>
      </c>
      <c r="M49" s="70">
        <v>1.25</v>
      </c>
      <c r="N49" s="71" t="s">
        <v>101</v>
      </c>
      <c r="O49" s="48">
        <v>4.26</v>
      </c>
      <c r="P49" s="48">
        <f t="shared" ref="P49" si="25">L49*O49</f>
        <v>75389.22</v>
      </c>
      <c r="Q49" s="49">
        <f t="shared" si="5"/>
        <v>0</v>
      </c>
      <c r="R49" s="50">
        <f t="shared" ref="R49" si="26">ROUND((P49+T49)*Q49,2)</f>
        <v>0</v>
      </c>
      <c r="S49" s="51">
        <f t="shared" ref="S49" si="27">IF(H49&gt;0,10%,0)</f>
        <v>0.1</v>
      </c>
      <c r="T49" s="50">
        <f t="shared" si="11"/>
        <v>9423.65</v>
      </c>
      <c r="U49" s="52">
        <v>0.4</v>
      </c>
      <c r="V49" s="53">
        <f t="shared" si="24"/>
        <v>8848.5</v>
      </c>
      <c r="W49" s="53">
        <f t="shared" si="22"/>
        <v>112508.68</v>
      </c>
      <c r="X49" s="222">
        <f t="shared" si="21"/>
        <v>90006.943999999989</v>
      </c>
      <c r="Y49" s="11"/>
      <c r="Z49" s="7"/>
      <c r="AA49" s="8"/>
      <c r="AB49" s="8"/>
      <c r="AC49" s="13"/>
      <c r="AD49" s="7" t="str">
        <f>B49</f>
        <v>Аллахвердиева И.В.</v>
      </c>
      <c r="AE49" s="16">
        <f>M49</f>
        <v>1.25</v>
      </c>
      <c r="AF49" s="8">
        <f>W49</f>
        <v>112508.68</v>
      </c>
    </row>
    <row r="50" spans="1:34" ht="15.75" thickBot="1" x14ac:dyDescent="0.3">
      <c r="A50" s="481" t="s">
        <v>102</v>
      </c>
      <c r="B50" s="482"/>
      <c r="C50" s="482"/>
      <c r="D50" s="482"/>
      <c r="E50" s="204"/>
      <c r="F50" s="204"/>
      <c r="G50" s="204"/>
      <c r="H50" s="204"/>
      <c r="I50" s="204"/>
      <c r="J50" s="204"/>
      <c r="K50" s="204"/>
      <c r="L50" s="65"/>
      <c r="M50" s="65">
        <f>SUM(M16:M49)</f>
        <v>34.25</v>
      </c>
      <c r="N50" s="65"/>
      <c r="O50" s="65"/>
      <c r="P50" s="65">
        <f>SUM(P16:P49)</f>
        <v>1801554.5999999999</v>
      </c>
      <c r="Q50" s="65"/>
      <c r="R50" s="66">
        <f>SUM(R16:R49)</f>
        <v>0</v>
      </c>
      <c r="S50" s="66"/>
      <c r="T50" s="66">
        <f>SUM(T16:T49)</f>
        <v>179668.84000000003</v>
      </c>
      <c r="U50" s="66">
        <f>SUM(U21:U49)</f>
        <v>11.899999999999999</v>
      </c>
      <c r="V50" s="66">
        <f>SUM(V16:V49)</f>
        <v>263242.875</v>
      </c>
      <c r="W50" s="73">
        <f>SUM(W16:W49)</f>
        <v>2239599.6700000004</v>
      </c>
      <c r="X50" s="1"/>
      <c r="Z50" s="14" t="s">
        <v>103</v>
      </c>
      <c r="AA50" s="17">
        <f>SUM(AA16:AA49)</f>
        <v>11.75</v>
      </c>
      <c r="AB50" s="17">
        <f>SUM(AB16:AB49)</f>
        <v>474005.33999999997</v>
      </c>
      <c r="AC50" s="3"/>
      <c r="AD50" s="14" t="s">
        <v>104</v>
      </c>
      <c r="AE50" s="17">
        <f>SUM(AE16:AE49)</f>
        <v>24</v>
      </c>
      <c r="AF50" s="17">
        <f>SUM(AF16:AF49)</f>
        <v>1696222.0899999996</v>
      </c>
      <c r="AH50" s="1"/>
    </row>
    <row r="51" spans="1:34" ht="15" x14ac:dyDescent="0.25">
      <c r="A51" s="77">
        <v>41</v>
      </c>
      <c r="B51" s="75" t="s">
        <v>105</v>
      </c>
      <c r="C51" s="76" t="s">
        <v>106</v>
      </c>
      <c r="D51" s="77" t="s">
        <v>35</v>
      </c>
      <c r="E51" s="83" t="s">
        <v>41</v>
      </c>
      <c r="F51" s="83"/>
      <c r="G51" s="83"/>
      <c r="H51" s="77">
        <v>1</v>
      </c>
      <c r="I51" s="84"/>
      <c r="J51" s="78"/>
      <c r="K51" s="74">
        <v>5</v>
      </c>
      <c r="L51" s="79">
        <v>17697</v>
      </c>
      <c r="M51" s="85">
        <v>1</v>
      </c>
      <c r="N51" s="85"/>
      <c r="O51" s="79">
        <v>2.1</v>
      </c>
      <c r="P51" s="79">
        <f t="shared" ref="P51:P63" si="28">L51*O51</f>
        <v>37163.700000000004</v>
      </c>
      <c r="Q51" s="80">
        <f>IF(G51&gt;0,25%,0)</f>
        <v>0</v>
      </c>
      <c r="R51" s="81">
        <f>ROUND((P51+T51)*Q51,2)</f>
        <v>0</v>
      </c>
      <c r="S51" s="82">
        <f>IF(H51&gt;0,10%,0)</f>
        <v>0.1</v>
      </c>
      <c r="T51" s="81">
        <f>ROUND(P51*S51*M51,2)</f>
        <v>3716.37</v>
      </c>
      <c r="U51" s="86">
        <v>0.3</v>
      </c>
      <c r="V51" s="53">
        <f t="shared" ref="V51:V55" si="29">L51*U51*M51</f>
        <v>5309.0999999999995</v>
      </c>
      <c r="W51" s="18">
        <f t="shared" ref="W51:W63" si="30">ROUND(P51*M51+R51+T51+V51,2)</f>
        <v>46189.17</v>
      </c>
      <c r="X51" s="222">
        <f>W51/M51</f>
        <v>46189.17</v>
      </c>
      <c r="Z51" s="19" t="str">
        <f t="shared" ref="Z51:Z63" si="31">B51</f>
        <v>Мукушева Г. Х.</v>
      </c>
      <c r="AA51" s="20">
        <f t="shared" ref="AA51:AA63" si="32">M51</f>
        <v>1</v>
      </c>
      <c r="AB51" s="20">
        <f t="shared" ref="AB51:AB63" si="33">W51</f>
        <v>46189.17</v>
      </c>
      <c r="AC51" s="202"/>
      <c r="AD51" s="19"/>
      <c r="AE51" s="21"/>
      <c r="AF51" s="20"/>
    </row>
    <row r="52" spans="1:34" ht="15" x14ac:dyDescent="0.25">
      <c r="A52" s="74">
        <v>42</v>
      </c>
      <c r="B52" s="75" t="s">
        <v>107</v>
      </c>
      <c r="C52" s="76" t="s">
        <v>106</v>
      </c>
      <c r="D52" s="77" t="s">
        <v>35</v>
      </c>
      <c r="E52" s="83" t="s">
        <v>41</v>
      </c>
      <c r="F52" s="83"/>
      <c r="G52" s="83"/>
      <c r="H52" s="77">
        <v>1</v>
      </c>
      <c r="I52" s="84"/>
      <c r="J52" s="78"/>
      <c r="K52" s="74">
        <v>5</v>
      </c>
      <c r="L52" s="79">
        <v>17697</v>
      </c>
      <c r="M52" s="85">
        <v>1</v>
      </c>
      <c r="N52" s="85"/>
      <c r="O52" s="79">
        <v>2.1</v>
      </c>
      <c r="P52" s="79">
        <f t="shared" si="28"/>
        <v>37163.700000000004</v>
      </c>
      <c r="Q52" s="80">
        <f>IF(G52&gt;0,25%,0)</f>
        <v>0</v>
      </c>
      <c r="R52" s="81">
        <f>ROUND((P52+T52)*Q52,2)</f>
        <v>0</v>
      </c>
      <c r="S52" s="82">
        <f t="shared" ref="S52:S63" si="34">IF(H52&gt;0,10%,0)</f>
        <v>0.1</v>
      </c>
      <c r="T52" s="81">
        <f>ROUND(P52*S52*M52,2)</f>
        <v>3716.37</v>
      </c>
      <c r="U52" s="86">
        <v>0.3</v>
      </c>
      <c r="V52" s="53">
        <f t="shared" si="29"/>
        <v>5309.0999999999995</v>
      </c>
      <c r="W52" s="18">
        <f t="shared" si="30"/>
        <v>46189.17</v>
      </c>
      <c r="X52" s="222">
        <f t="shared" ref="X52:X63" si="35">W52/M52</f>
        <v>46189.17</v>
      </c>
      <c r="Z52" s="19" t="str">
        <f>B52</f>
        <v>Токсамбаева К.К.</v>
      </c>
      <c r="AA52" s="20">
        <f t="shared" si="32"/>
        <v>1</v>
      </c>
      <c r="AB52" s="20">
        <f t="shared" si="33"/>
        <v>46189.17</v>
      </c>
      <c r="AC52" s="202"/>
      <c r="AD52" s="19"/>
      <c r="AE52" s="21"/>
      <c r="AF52" s="20"/>
    </row>
    <row r="53" spans="1:34" ht="15" x14ac:dyDescent="0.25">
      <c r="A53" s="77">
        <v>43</v>
      </c>
      <c r="B53" s="75" t="s">
        <v>108</v>
      </c>
      <c r="C53" s="76" t="s">
        <v>109</v>
      </c>
      <c r="D53" s="77" t="s">
        <v>35</v>
      </c>
      <c r="E53" s="83" t="s">
        <v>41</v>
      </c>
      <c r="F53" s="83"/>
      <c r="G53" s="83"/>
      <c r="H53" s="77">
        <v>1</v>
      </c>
      <c r="I53" s="84"/>
      <c r="J53" s="78"/>
      <c r="K53" s="74">
        <v>2</v>
      </c>
      <c r="L53" s="79">
        <v>17697</v>
      </c>
      <c r="M53" s="85">
        <v>0.5</v>
      </c>
      <c r="N53" s="85"/>
      <c r="O53" s="79">
        <v>1.71</v>
      </c>
      <c r="P53" s="79">
        <f t="shared" si="28"/>
        <v>30261.87</v>
      </c>
      <c r="Q53" s="80">
        <f t="shared" ref="Q53:Q63" si="36">IF(G53&gt;0,25%,0)</f>
        <v>0</v>
      </c>
      <c r="R53" s="81">
        <f t="shared" ref="R53:R63" si="37">ROUND((P53+T53)*Q53,2)</f>
        <v>0</v>
      </c>
      <c r="S53" s="82">
        <f t="shared" si="34"/>
        <v>0.1</v>
      </c>
      <c r="T53" s="81">
        <f t="shared" ref="T53:T63" si="38">ROUND(P53*S53*M53,2)</f>
        <v>1513.09</v>
      </c>
      <c r="U53" s="86"/>
      <c r="V53" s="53"/>
      <c r="W53" s="18">
        <f t="shared" si="30"/>
        <v>16644.03</v>
      </c>
      <c r="X53" s="222">
        <f t="shared" si="35"/>
        <v>33288.06</v>
      </c>
      <c r="Z53" s="19" t="str">
        <f>B53</f>
        <v>Вакансия</v>
      </c>
      <c r="AA53" s="20">
        <f t="shared" si="32"/>
        <v>0.5</v>
      </c>
      <c r="AB53" s="20">
        <f t="shared" si="33"/>
        <v>16644.03</v>
      </c>
      <c r="AC53" s="202"/>
      <c r="AD53" s="19"/>
      <c r="AE53" s="21"/>
      <c r="AF53" s="20"/>
    </row>
    <row r="54" spans="1:34" ht="15" x14ac:dyDescent="0.25">
      <c r="A54" s="77">
        <v>44</v>
      </c>
      <c r="B54" s="75" t="s">
        <v>110</v>
      </c>
      <c r="C54" s="76" t="s">
        <v>111</v>
      </c>
      <c r="D54" s="77" t="s">
        <v>35</v>
      </c>
      <c r="E54" s="83" t="s">
        <v>41</v>
      </c>
      <c r="F54" s="83"/>
      <c r="G54" s="83"/>
      <c r="H54" s="77">
        <v>1</v>
      </c>
      <c r="I54" s="84"/>
      <c r="J54" s="78"/>
      <c r="K54" s="74">
        <v>3</v>
      </c>
      <c r="L54" s="79">
        <v>17697</v>
      </c>
      <c r="M54" s="85">
        <v>0.5</v>
      </c>
      <c r="N54" s="85"/>
      <c r="O54" s="79">
        <v>1.83</v>
      </c>
      <c r="P54" s="79">
        <f t="shared" si="28"/>
        <v>32385.510000000002</v>
      </c>
      <c r="Q54" s="80">
        <f t="shared" si="36"/>
        <v>0</v>
      </c>
      <c r="R54" s="81">
        <f t="shared" si="37"/>
        <v>0</v>
      </c>
      <c r="S54" s="82">
        <f t="shared" si="34"/>
        <v>0.1</v>
      </c>
      <c r="T54" s="81">
        <f t="shared" si="38"/>
        <v>1619.28</v>
      </c>
      <c r="U54" s="86"/>
      <c r="V54" s="53"/>
      <c r="W54" s="18">
        <f t="shared" si="30"/>
        <v>17812.04</v>
      </c>
      <c r="X54" s="222">
        <f t="shared" si="35"/>
        <v>35624.080000000002</v>
      </c>
      <c r="Z54" s="19" t="str">
        <f t="shared" si="31"/>
        <v>Гребенева О .Я.</v>
      </c>
      <c r="AA54" s="20">
        <f t="shared" si="32"/>
        <v>0.5</v>
      </c>
      <c r="AB54" s="20">
        <f t="shared" si="33"/>
        <v>17812.04</v>
      </c>
      <c r="AC54" s="3"/>
      <c r="AD54" s="19"/>
      <c r="AE54" s="21"/>
      <c r="AF54" s="20"/>
    </row>
    <row r="55" spans="1:34" ht="30" x14ac:dyDescent="0.25">
      <c r="A55" s="77">
        <v>45</v>
      </c>
      <c r="B55" s="75" t="str">
        <f>'[1]РАСЧЁТЫ по действующей сист16'!B101</f>
        <v>Бесенбаева Е.К.</v>
      </c>
      <c r="C55" s="87" t="s">
        <v>112</v>
      </c>
      <c r="D55" s="77" t="s">
        <v>35</v>
      </c>
      <c r="E55" s="77" t="s">
        <v>41</v>
      </c>
      <c r="F55" s="77"/>
      <c r="G55" s="77"/>
      <c r="H55" s="77">
        <v>1</v>
      </c>
      <c r="I55" s="84"/>
      <c r="J55" s="84"/>
      <c r="K55" s="77">
        <v>2</v>
      </c>
      <c r="L55" s="79">
        <v>17697</v>
      </c>
      <c r="M55" s="85">
        <v>1</v>
      </c>
      <c r="N55" s="85"/>
      <c r="O55" s="85">
        <v>1.71</v>
      </c>
      <c r="P55" s="79">
        <f t="shared" si="28"/>
        <v>30261.87</v>
      </c>
      <c r="Q55" s="80">
        <f t="shared" si="36"/>
        <v>0</v>
      </c>
      <c r="R55" s="81">
        <f t="shared" si="37"/>
        <v>0</v>
      </c>
      <c r="S55" s="82">
        <f t="shared" si="34"/>
        <v>0.1</v>
      </c>
      <c r="T55" s="81">
        <f t="shared" si="38"/>
        <v>3026.19</v>
      </c>
      <c r="U55" s="86">
        <v>0.3</v>
      </c>
      <c r="V55" s="53">
        <f t="shared" si="29"/>
        <v>5309.0999999999995</v>
      </c>
      <c r="W55" s="18">
        <f t="shared" si="30"/>
        <v>38597.160000000003</v>
      </c>
      <c r="X55" s="222">
        <f t="shared" si="35"/>
        <v>38597.160000000003</v>
      </c>
      <c r="Z55" s="19" t="str">
        <f t="shared" si="31"/>
        <v>Бесенбаева Е.К.</v>
      </c>
      <c r="AA55" s="20">
        <f t="shared" si="32"/>
        <v>1</v>
      </c>
      <c r="AB55" s="20">
        <f t="shared" si="33"/>
        <v>38597.160000000003</v>
      </c>
      <c r="AC55" s="3"/>
      <c r="AD55" s="19"/>
      <c r="AE55" s="21"/>
      <c r="AF55" s="20"/>
    </row>
    <row r="56" spans="1:34" ht="30" x14ac:dyDescent="0.25">
      <c r="A56" s="74">
        <v>46</v>
      </c>
      <c r="B56" s="75" t="s">
        <v>108</v>
      </c>
      <c r="C56" s="87" t="s">
        <v>113</v>
      </c>
      <c r="D56" s="77" t="s">
        <v>28</v>
      </c>
      <c r="E56" s="77" t="s">
        <v>41</v>
      </c>
      <c r="F56" s="77"/>
      <c r="G56" s="77"/>
      <c r="H56" s="77">
        <v>1</v>
      </c>
      <c r="I56" s="84"/>
      <c r="J56" s="84"/>
      <c r="K56" s="77">
        <v>2</v>
      </c>
      <c r="L56" s="79">
        <v>17697</v>
      </c>
      <c r="M56" s="85">
        <v>1</v>
      </c>
      <c r="N56" s="85"/>
      <c r="O56" s="77">
        <v>1.71</v>
      </c>
      <c r="P56" s="79">
        <f t="shared" si="28"/>
        <v>30261.87</v>
      </c>
      <c r="Q56" s="80">
        <f t="shared" si="36"/>
        <v>0</v>
      </c>
      <c r="R56" s="81">
        <f t="shared" si="37"/>
        <v>0</v>
      </c>
      <c r="S56" s="82">
        <f t="shared" si="34"/>
        <v>0.1</v>
      </c>
      <c r="T56" s="81">
        <f t="shared" si="38"/>
        <v>3026.19</v>
      </c>
      <c r="U56" s="86">
        <v>0.3</v>
      </c>
      <c r="V56" s="53">
        <f t="shared" ref="V56" si="39">L56*U56*M56</f>
        <v>5309.0999999999995</v>
      </c>
      <c r="W56" s="18">
        <f t="shared" si="30"/>
        <v>38597.160000000003</v>
      </c>
      <c r="X56" s="222">
        <f t="shared" si="35"/>
        <v>38597.160000000003</v>
      </c>
      <c r="Z56" s="19" t="str">
        <f t="shared" si="31"/>
        <v>Вакансия</v>
      </c>
      <c r="AA56" s="20">
        <f t="shared" si="32"/>
        <v>1</v>
      </c>
      <c r="AB56" s="20">
        <f t="shared" si="33"/>
        <v>38597.160000000003</v>
      </c>
      <c r="AC56" s="3"/>
      <c r="AD56" s="19"/>
      <c r="AE56" s="21"/>
      <c r="AF56" s="20"/>
    </row>
    <row r="57" spans="1:34" ht="45" x14ac:dyDescent="0.25">
      <c r="A57" s="77">
        <v>47</v>
      </c>
      <c r="B57" s="75" t="str">
        <f>'[1]РАСЧЁТЫ по действующей сист16'!B113</f>
        <v>Бадажков В.</v>
      </c>
      <c r="C57" s="87" t="s">
        <v>114</v>
      </c>
      <c r="D57" s="77" t="s">
        <v>35</v>
      </c>
      <c r="E57" s="77" t="s">
        <v>41</v>
      </c>
      <c r="F57" s="77"/>
      <c r="G57" s="77"/>
      <c r="H57" s="77">
        <v>1</v>
      </c>
      <c r="I57" s="84"/>
      <c r="J57" s="84"/>
      <c r="K57" s="77">
        <v>2</v>
      </c>
      <c r="L57" s="79">
        <v>17697</v>
      </c>
      <c r="M57" s="85">
        <v>1</v>
      </c>
      <c r="N57" s="85"/>
      <c r="O57" s="77">
        <v>1.71</v>
      </c>
      <c r="P57" s="79">
        <f t="shared" si="28"/>
        <v>30261.87</v>
      </c>
      <c r="Q57" s="80">
        <f t="shared" si="36"/>
        <v>0</v>
      </c>
      <c r="R57" s="81">
        <f t="shared" si="37"/>
        <v>0</v>
      </c>
      <c r="S57" s="82">
        <f t="shared" si="34"/>
        <v>0.1</v>
      </c>
      <c r="T57" s="81">
        <f t="shared" si="38"/>
        <v>3026.19</v>
      </c>
      <c r="U57" s="86"/>
      <c r="V57" s="18"/>
      <c r="W57" s="18">
        <f t="shared" si="30"/>
        <v>33288.06</v>
      </c>
      <c r="X57" s="222">
        <f t="shared" si="35"/>
        <v>33288.06</v>
      </c>
      <c r="Z57" s="19" t="str">
        <f t="shared" si="31"/>
        <v>Бадажков В.</v>
      </c>
      <c r="AA57" s="20">
        <f t="shared" si="32"/>
        <v>1</v>
      </c>
      <c r="AB57" s="20">
        <f t="shared" si="33"/>
        <v>33288.06</v>
      </c>
      <c r="AC57" s="3"/>
      <c r="AD57" s="19"/>
      <c r="AE57" s="21"/>
      <c r="AF57" s="20"/>
    </row>
    <row r="58" spans="1:34" ht="15" x14ac:dyDescent="0.25">
      <c r="A58" s="74">
        <v>48</v>
      </c>
      <c r="B58" s="75" t="str">
        <f>'[1]РАСЧЁТЫ по действующей сист16'!B114</f>
        <v>Парада В.</v>
      </c>
      <c r="C58" s="87" t="s">
        <v>115</v>
      </c>
      <c r="D58" s="77" t="s">
        <v>35</v>
      </c>
      <c r="E58" s="77" t="s">
        <v>41</v>
      </c>
      <c r="F58" s="77"/>
      <c r="G58" s="77"/>
      <c r="H58" s="77">
        <v>1</v>
      </c>
      <c r="I58" s="84"/>
      <c r="J58" s="84"/>
      <c r="K58" s="77">
        <v>5</v>
      </c>
      <c r="L58" s="79">
        <v>17697</v>
      </c>
      <c r="M58" s="85">
        <v>1</v>
      </c>
      <c r="N58" s="85"/>
      <c r="O58" s="77">
        <v>2.1</v>
      </c>
      <c r="P58" s="79">
        <f t="shared" si="28"/>
        <v>37163.700000000004</v>
      </c>
      <c r="Q58" s="80">
        <f t="shared" si="36"/>
        <v>0</v>
      </c>
      <c r="R58" s="81">
        <f t="shared" si="37"/>
        <v>0</v>
      </c>
      <c r="S58" s="82">
        <f t="shared" si="34"/>
        <v>0.1</v>
      </c>
      <c r="T58" s="81">
        <f t="shared" si="38"/>
        <v>3716.37</v>
      </c>
      <c r="U58" s="86"/>
      <c r="V58" s="18"/>
      <c r="W58" s="18">
        <f t="shared" si="30"/>
        <v>40880.07</v>
      </c>
      <c r="X58" s="222">
        <f t="shared" si="35"/>
        <v>40880.07</v>
      </c>
      <c r="Z58" s="19" t="str">
        <f>B58</f>
        <v>Парада В.</v>
      </c>
      <c r="AA58" s="20">
        <f t="shared" si="32"/>
        <v>1</v>
      </c>
      <c r="AB58" s="20">
        <f t="shared" si="33"/>
        <v>40880.07</v>
      </c>
      <c r="AC58" s="3"/>
      <c r="AD58" s="19"/>
      <c r="AE58" s="21"/>
      <c r="AF58" s="20"/>
    </row>
    <row r="59" spans="1:34" ht="15" x14ac:dyDescent="0.25">
      <c r="A59" s="74">
        <v>49</v>
      </c>
      <c r="B59" s="75" t="s">
        <v>116</v>
      </c>
      <c r="C59" s="87" t="s">
        <v>117</v>
      </c>
      <c r="D59" s="77" t="s">
        <v>28</v>
      </c>
      <c r="E59" s="77" t="s">
        <v>41</v>
      </c>
      <c r="F59" s="77"/>
      <c r="G59" s="77"/>
      <c r="H59" s="77">
        <v>1</v>
      </c>
      <c r="I59" s="84"/>
      <c r="J59" s="84"/>
      <c r="K59" s="77">
        <v>4</v>
      </c>
      <c r="L59" s="79">
        <v>17697</v>
      </c>
      <c r="M59" s="85">
        <v>0.5</v>
      </c>
      <c r="N59" s="85"/>
      <c r="O59" s="77">
        <v>1.96</v>
      </c>
      <c r="P59" s="79">
        <f t="shared" si="28"/>
        <v>34686.120000000003</v>
      </c>
      <c r="Q59" s="80">
        <f t="shared" si="36"/>
        <v>0</v>
      </c>
      <c r="R59" s="81">
        <f t="shared" si="37"/>
        <v>0</v>
      </c>
      <c r="S59" s="82">
        <f t="shared" si="34"/>
        <v>0.1</v>
      </c>
      <c r="T59" s="81">
        <f t="shared" si="38"/>
        <v>1734.31</v>
      </c>
      <c r="U59" s="86"/>
      <c r="V59" s="18"/>
      <c r="W59" s="18">
        <f t="shared" si="30"/>
        <v>19077.37</v>
      </c>
      <c r="X59" s="222">
        <f t="shared" si="35"/>
        <v>38154.74</v>
      </c>
      <c r="Z59" s="19" t="str">
        <f>B59</f>
        <v>Жайлауов А. М.</v>
      </c>
      <c r="AA59" s="20">
        <f t="shared" si="32"/>
        <v>0.5</v>
      </c>
      <c r="AB59" s="20">
        <f t="shared" si="33"/>
        <v>19077.37</v>
      </c>
      <c r="AC59" s="3"/>
      <c r="AD59" s="19"/>
      <c r="AE59" s="21"/>
      <c r="AF59" s="20"/>
    </row>
    <row r="60" spans="1:34" ht="15" x14ac:dyDescent="0.25">
      <c r="A60" s="77">
        <v>50</v>
      </c>
      <c r="B60" s="75" t="str">
        <f>'[1]РАСЧЁТЫ по действующей сист16'!B117</f>
        <v>Абуталипов Н.</v>
      </c>
      <c r="C60" s="88" t="s">
        <v>119</v>
      </c>
      <c r="D60" s="77" t="s">
        <v>118</v>
      </c>
      <c r="E60" s="77" t="s">
        <v>41</v>
      </c>
      <c r="F60" s="77"/>
      <c r="G60" s="77"/>
      <c r="H60" s="77">
        <v>1</v>
      </c>
      <c r="I60" s="84"/>
      <c r="J60" s="84"/>
      <c r="K60" s="77">
        <v>1</v>
      </c>
      <c r="L60" s="79">
        <v>17697</v>
      </c>
      <c r="M60" s="85">
        <v>1</v>
      </c>
      <c r="N60" s="85"/>
      <c r="O60" s="77">
        <v>1.6</v>
      </c>
      <c r="P60" s="79">
        <f t="shared" si="28"/>
        <v>28315.200000000001</v>
      </c>
      <c r="Q60" s="80">
        <f t="shared" si="36"/>
        <v>0</v>
      </c>
      <c r="R60" s="81">
        <f t="shared" si="37"/>
        <v>0</v>
      </c>
      <c r="S60" s="82">
        <f t="shared" si="34"/>
        <v>0.1</v>
      </c>
      <c r="T60" s="81">
        <f t="shared" si="38"/>
        <v>2831.52</v>
      </c>
      <c r="U60" s="86"/>
      <c r="V60" s="18">
        <v>8632.68</v>
      </c>
      <c r="W60" s="18">
        <f t="shared" si="30"/>
        <v>39779.4</v>
      </c>
      <c r="X60" s="222">
        <f t="shared" si="35"/>
        <v>39779.4</v>
      </c>
      <c r="Z60" s="19" t="str">
        <f t="shared" si="31"/>
        <v>Абуталипов Н.</v>
      </c>
      <c r="AA60" s="20">
        <f t="shared" si="32"/>
        <v>1</v>
      </c>
      <c r="AB60" s="20">
        <f t="shared" si="33"/>
        <v>39779.4</v>
      </c>
      <c r="AC60" s="22"/>
      <c r="AD60" s="19"/>
      <c r="AE60" s="21"/>
      <c r="AF60" s="20"/>
    </row>
    <row r="61" spans="1:34" ht="15" x14ac:dyDescent="0.25">
      <c r="A61" s="74">
        <v>51</v>
      </c>
      <c r="B61" s="75" t="str">
        <f>'[1]РАСЧЁТЫ по действующей сист16'!B118</f>
        <v>Медиев М.</v>
      </c>
      <c r="C61" s="88" t="s">
        <v>119</v>
      </c>
      <c r="D61" s="77" t="s">
        <v>118</v>
      </c>
      <c r="E61" s="77" t="s">
        <v>41</v>
      </c>
      <c r="F61" s="77"/>
      <c r="G61" s="77"/>
      <c r="H61" s="77">
        <v>1</v>
      </c>
      <c r="I61" s="84"/>
      <c r="J61" s="84"/>
      <c r="K61" s="77">
        <v>1</v>
      </c>
      <c r="L61" s="79">
        <v>17697</v>
      </c>
      <c r="M61" s="85">
        <v>1</v>
      </c>
      <c r="N61" s="85"/>
      <c r="O61" s="77">
        <v>1.6</v>
      </c>
      <c r="P61" s="79">
        <f t="shared" si="28"/>
        <v>28315.200000000001</v>
      </c>
      <c r="Q61" s="80">
        <f t="shared" si="36"/>
        <v>0</v>
      </c>
      <c r="R61" s="81">
        <f t="shared" si="37"/>
        <v>0</v>
      </c>
      <c r="S61" s="82">
        <f t="shared" si="34"/>
        <v>0.1</v>
      </c>
      <c r="T61" s="81">
        <f t="shared" si="38"/>
        <v>2831.52</v>
      </c>
      <c r="U61" s="86"/>
      <c r="V61" s="18">
        <v>8632.68</v>
      </c>
      <c r="W61" s="18">
        <f t="shared" si="30"/>
        <v>39779.4</v>
      </c>
      <c r="X61" s="222">
        <f t="shared" si="35"/>
        <v>39779.4</v>
      </c>
      <c r="Z61" s="19" t="str">
        <f t="shared" si="31"/>
        <v>Медиев М.</v>
      </c>
      <c r="AA61" s="20">
        <f t="shared" si="32"/>
        <v>1</v>
      </c>
      <c r="AB61" s="20">
        <f t="shared" si="33"/>
        <v>39779.4</v>
      </c>
      <c r="AC61" s="202"/>
      <c r="AD61" s="19"/>
      <c r="AE61" s="21"/>
      <c r="AF61" s="20"/>
    </row>
    <row r="62" spans="1:34" ht="15" x14ac:dyDescent="0.25">
      <c r="A62" s="77">
        <v>52</v>
      </c>
      <c r="B62" s="75" t="str">
        <f>'[1]РАСЧЁТЫ по действующей сист16'!B119</f>
        <v>Уралтаев С.</v>
      </c>
      <c r="C62" s="88" t="s">
        <v>119</v>
      </c>
      <c r="D62" s="77" t="s">
        <v>118</v>
      </c>
      <c r="E62" s="77" t="s">
        <v>41</v>
      </c>
      <c r="F62" s="77"/>
      <c r="G62" s="77"/>
      <c r="H62" s="77">
        <v>1</v>
      </c>
      <c r="I62" s="84"/>
      <c r="J62" s="84"/>
      <c r="K62" s="77">
        <v>1</v>
      </c>
      <c r="L62" s="79">
        <v>17697</v>
      </c>
      <c r="M62" s="85">
        <v>1</v>
      </c>
      <c r="N62" s="85"/>
      <c r="O62" s="77">
        <v>1.6</v>
      </c>
      <c r="P62" s="79">
        <f t="shared" si="28"/>
        <v>28315.200000000001</v>
      </c>
      <c r="Q62" s="80">
        <f t="shared" si="36"/>
        <v>0</v>
      </c>
      <c r="R62" s="81">
        <f t="shared" si="37"/>
        <v>0</v>
      </c>
      <c r="S62" s="82">
        <f t="shared" si="34"/>
        <v>0.1</v>
      </c>
      <c r="T62" s="81">
        <f t="shared" si="38"/>
        <v>2831.52</v>
      </c>
      <c r="U62" s="86"/>
      <c r="V62" s="18">
        <v>8632.68</v>
      </c>
      <c r="W62" s="18">
        <f t="shared" si="30"/>
        <v>39779.4</v>
      </c>
      <c r="X62" s="222">
        <f t="shared" si="35"/>
        <v>39779.4</v>
      </c>
      <c r="Z62" s="19" t="str">
        <f t="shared" si="31"/>
        <v>Уралтаев С.</v>
      </c>
      <c r="AA62" s="20">
        <f t="shared" si="32"/>
        <v>1</v>
      </c>
      <c r="AB62" s="20">
        <f t="shared" si="33"/>
        <v>39779.4</v>
      </c>
      <c r="AC62" s="202"/>
      <c r="AD62" s="19"/>
      <c r="AE62" s="21"/>
      <c r="AF62" s="20"/>
    </row>
    <row r="63" spans="1:34" ht="15.75" thickBot="1" x14ac:dyDescent="0.3">
      <c r="A63" s="74">
        <v>53</v>
      </c>
      <c r="B63" s="75" t="str">
        <f>'[1]РАСЧЁТЫ по действующей сист16'!B120</f>
        <v>Сипатов А.М.</v>
      </c>
      <c r="C63" s="89" t="s">
        <v>120</v>
      </c>
      <c r="D63" s="77" t="s">
        <v>118</v>
      </c>
      <c r="E63" s="77" t="s">
        <v>41</v>
      </c>
      <c r="F63" s="90"/>
      <c r="G63" s="90"/>
      <c r="H63" s="90">
        <v>1</v>
      </c>
      <c r="I63" s="91"/>
      <c r="J63" s="91"/>
      <c r="K63" s="90">
        <v>2</v>
      </c>
      <c r="L63" s="79">
        <v>17697</v>
      </c>
      <c r="M63" s="92">
        <v>1</v>
      </c>
      <c r="N63" s="92"/>
      <c r="O63" s="77">
        <v>1.71</v>
      </c>
      <c r="P63" s="79">
        <f t="shared" si="28"/>
        <v>30261.87</v>
      </c>
      <c r="Q63" s="80">
        <f t="shared" si="36"/>
        <v>0</v>
      </c>
      <c r="R63" s="81">
        <f t="shared" si="37"/>
        <v>0</v>
      </c>
      <c r="S63" s="82">
        <f t="shared" si="34"/>
        <v>0.1</v>
      </c>
      <c r="T63" s="81">
        <f t="shared" si="38"/>
        <v>3026.19</v>
      </c>
      <c r="U63" s="93"/>
      <c r="V63" s="94"/>
      <c r="W63" s="18">
        <f t="shared" si="30"/>
        <v>33288.06</v>
      </c>
      <c r="X63" s="222">
        <f t="shared" si="35"/>
        <v>33288.06</v>
      </c>
      <c r="Z63" s="19" t="str">
        <f t="shared" si="31"/>
        <v>Сипатов А.М.</v>
      </c>
      <c r="AA63" s="20">
        <f t="shared" si="32"/>
        <v>1</v>
      </c>
      <c r="AB63" s="20">
        <f t="shared" si="33"/>
        <v>33288.06</v>
      </c>
      <c r="AD63" s="19"/>
      <c r="AE63" s="21"/>
      <c r="AF63" s="20"/>
    </row>
    <row r="64" spans="1:34" ht="13.5" thickBot="1" x14ac:dyDescent="0.3">
      <c r="A64" s="483" t="s">
        <v>121</v>
      </c>
      <c r="B64" s="484"/>
      <c r="C64" s="484"/>
      <c r="D64" s="484"/>
      <c r="E64" s="205"/>
      <c r="F64" s="205"/>
      <c r="G64" s="205"/>
      <c r="H64" s="205"/>
      <c r="I64" s="205"/>
      <c r="J64" s="205"/>
      <c r="K64" s="205"/>
      <c r="L64" s="205"/>
      <c r="M64" s="96">
        <f>SUM(M51:M63)</f>
        <v>11.5</v>
      </c>
      <c r="N64" s="96"/>
      <c r="O64" s="96"/>
      <c r="P64" s="96">
        <f>SUM(P51:P63)</f>
        <v>414817.68</v>
      </c>
      <c r="Q64" s="96">
        <f>SUM(Q51:Q63)</f>
        <v>0</v>
      </c>
      <c r="R64" s="96">
        <f>SUM(R51:R63)</f>
        <v>0</v>
      </c>
      <c r="S64" s="96"/>
      <c r="T64" s="96">
        <f>SUM(T51:T63)</f>
        <v>36615.11</v>
      </c>
      <c r="U64" s="96">
        <f>SUM(U51:U63)</f>
        <v>1.2</v>
      </c>
      <c r="V64" s="96">
        <f>SUM(V51:V63)</f>
        <v>47134.439999999995</v>
      </c>
      <c r="W64" s="97">
        <f>ROUND(SUM(W51:W63),2)</f>
        <v>449900.49</v>
      </c>
      <c r="Z64" s="14" t="s">
        <v>122</v>
      </c>
      <c r="AA64" s="15">
        <f>SUM(AA51:AA63)</f>
        <v>11.5</v>
      </c>
      <c r="AB64" s="15">
        <f>SUM(AB51:AB63)</f>
        <v>449900.49000000005</v>
      </c>
      <c r="AC64" s="3"/>
      <c r="AD64" s="14" t="s">
        <v>123</v>
      </c>
      <c r="AE64" s="15">
        <f>SUM(AE51:AE63)</f>
        <v>0</v>
      </c>
      <c r="AF64" s="15">
        <f>SUM(AF51:AF63)</f>
        <v>0</v>
      </c>
    </row>
    <row r="65" spans="1:32" ht="13.5" thickBot="1" x14ac:dyDescent="0.3">
      <c r="A65" s="485" t="s">
        <v>124</v>
      </c>
      <c r="B65" s="486"/>
      <c r="C65" s="486"/>
      <c r="D65" s="486"/>
      <c r="E65" s="206"/>
      <c r="F65" s="206"/>
      <c r="G65" s="206"/>
      <c r="H65" s="206"/>
      <c r="I65" s="206"/>
      <c r="J65" s="206"/>
      <c r="K65" s="206"/>
      <c r="L65" s="206"/>
      <c r="M65" s="99">
        <f>M15+M50+M64</f>
        <v>48.25</v>
      </c>
      <c r="N65" s="99"/>
      <c r="O65" s="99"/>
      <c r="P65" s="99">
        <f>P15+P50+P64</f>
        <v>2403252.6</v>
      </c>
      <c r="Q65" s="99">
        <f>Q15+Q50+Q64</f>
        <v>0</v>
      </c>
      <c r="R65" s="99">
        <f>R15+R50+R64</f>
        <v>0</v>
      </c>
      <c r="S65" s="99"/>
      <c r="T65" s="99">
        <f>T15+T50+T64</f>
        <v>232122.77000000002</v>
      </c>
      <c r="U65" s="99">
        <f>U15+U50+U64</f>
        <v>13.399999999999999</v>
      </c>
      <c r="V65" s="99">
        <f>V15+V50+V64</f>
        <v>315686.41499999998</v>
      </c>
      <c r="W65" s="100">
        <f>ROUND(W15+W50+W64,2)</f>
        <v>2869036.23</v>
      </c>
      <c r="Z65" s="23" t="s">
        <v>125</v>
      </c>
      <c r="AA65" s="18">
        <f>AA15+AA50+AA64</f>
        <v>24.75</v>
      </c>
      <c r="AB65" s="18">
        <f>AB15+AB50+AB64</f>
        <v>1001967.3</v>
      </c>
      <c r="AC65" s="22"/>
      <c r="AD65" s="23" t="s">
        <v>126</v>
      </c>
      <c r="AE65" s="18">
        <f>AE15+AE50+AE64</f>
        <v>25</v>
      </c>
      <c r="AF65" s="18">
        <f>AF15+AF50+AF64</f>
        <v>1797696.6899999997</v>
      </c>
    </row>
    <row r="66" spans="1:32" x14ac:dyDescent="0.25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Z66" s="202"/>
      <c r="AA66" s="202"/>
      <c r="AB66" s="202"/>
      <c r="AC66" s="202"/>
      <c r="AD66" s="202"/>
      <c r="AE66" s="202"/>
      <c r="AF66" s="202"/>
    </row>
    <row r="67" spans="1:32" ht="15" x14ac:dyDescent="0.25">
      <c r="B67" s="202" t="s">
        <v>27</v>
      </c>
      <c r="C67" s="487"/>
      <c r="D67" s="487"/>
      <c r="E67" s="207"/>
      <c r="F67" s="203"/>
      <c r="G67" s="203"/>
      <c r="H67" s="203"/>
      <c r="K67" s="487" t="s">
        <v>127</v>
      </c>
      <c r="L67" s="487"/>
      <c r="M67" s="488"/>
      <c r="N67" s="24"/>
      <c r="O67" s="25"/>
      <c r="P67" s="2"/>
      <c r="Q67" s="2"/>
      <c r="R67" s="2"/>
      <c r="S67" s="2"/>
      <c r="T67" s="3"/>
      <c r="V67" s="1"/>
      <c r="W67" s="3"/>
      <c r="Z67" s="202"/>
      <c r="AA67" s="202"/>
      <c r="AB67" s="202"/>
      <c r="AC67" s="202"/>
      <c r="AD67" s="202"/>
      <c r="AE67" s="202"/>
      <c r="AF67" s="202"/>
    </row>
    <row r="68" spans="1:32" ht="15" x14ac:dyDescent="0.25">
      <c r="C68" s="478" t="s">
        <v>128</v>
      </c>
      <c r="D68" s="478"/>
      <c r="E68" s="478"/>
      <c r="F68" s="203"/>
      <c r="G68" s="203"/>
      <c r="H68" s="203"/>
      <c r="I68" s="201"/>
      <c r="J68" s="201"/>
      <c r="K68" s="479" t="s">
        <v>129</v>
      </c>
      <c r="L68" s="479"/>
      <c r="M68" s="480"/>
      <c r="O68" s="2"/>
      <c r="P68" s="2"/>
      <c r="Q68" s="2"/>
      <c r="R68" s="2"/>
      <c r="S68" s="2"/>
      <c r="T68" s="2"/>
      <c r="U68" s="2"/>
      <c r="V68" s="26"/>
      <c r="W68" s="3"/>
      <c r="Z68" s="22"/>
      <c r="AA68" s="22"/>
      <c r="AB68" s="22"/>
      <c r="AC68" s="22"/>
      <c r="AD68" s="489" t="s">
        <v>130</v>
      </c>
      <c r="AE68" s="18" t="s">
        <v>131</v>
      </c>
      <c r="AF68" s="18" t="s">
        <v>4</v>
      </c>
    </row>
    <row r="69" spans="1:32" x14ac:dyDescent="0.25">
      <c r="E69" s="201"/>
      <c r="F69" s="201"/>
      <c r="G69" s="201"/>
      <c r="H69" s="201"/>
      <c r="I69" s="201"/>
      <c r="J69" s="201"/>
      <c r="K69" s="203"/>
      <c r="L69" s="203"/>
      <c r="O69" s="2"/>
      <c r="P69" s="2"/>
      <c r="Q69" s="2"/>
      <c r="R69" s="2"/>
      <c r="S69" s="2"/>
      <c r="T69" s="3"/>
      <c r="U69" s="3"/>
      <c r="W69" s="3"/>
      <c r="Z69" s="202"/>
      <c r="AB69" s="3"/>
      <c r="AD69" s="489"/>
      <c r="AE69" s="21">
        <f>AA65+AE65</f>
        <v>49.75</v>
      </c>
      <c r="AF69" s="21">
        <f>AB65+AF65</f>
        <v>2799663.9899999998</v>
      </c>
    </row>
    <row r="70" spans="1:32" ht="15" x14ac:dyDescent="0.25">
      <c r="B70" s="202" t="s">
        <v>40</v>
      </c>
      <c r="C70" s="487"/>
      <c r="D70" s="487"/>
      <c r="E70" s="207"/>
      <c r="F70" s="203"/>
      <c r="G70" s="203"/>
      <c r="H70" s="203"/>
      <c r="K70" s="487" t="s">
        <v>39</v>
      </c>
      <c r="L70" s="487"/>
      <c r="M70" s="488"/>
      <c r="W70" s="1"/>
      <c r="Z70" s="1"/>
      <c r="AA70" s="202"/>
      <c r="AB70" s="1"/>
      <c r="AC70" s="1"/>
      <c r="AD70" s="1"/>
      <c r="AE70" s="26"/>
      <c r="AF70" s="26"/>
    </row>
    <row r="71" spans="1:32" ht="15" x14ac:dyDescent="0.25">
      <c r="C71" s="478" t="s">
        <v>128</v>
      </c>
      <c r="D71" s="478"/>
      <c r="E71" s="478"/>
      <c r="F71" s="203"/>
      <c r="G71" s="203"/>
      <c r="H71" s="203"/>
      <c r="K71" s="479" t="s">
        <v>129</v>
      </c>
      <c r="L71" s="479"/>
      <c r="M71" s="480"/>
      <c r="T71" s="26"/>
      <c r="Z71" s="1"/>
      <c r="AA71" s="1"/>
      <c r="AB71" s="1"/>
      <c r="AC71" s="1"/>
      <c r="AD71" s="20" t="s">
        <v>132</v>
      </c>
      <c r="AE71" s="21">
        <f>M65</f>
        <v>48.25</v>
      </c>
      <c r="AF71" s="21">
        <f>W65</f>
        <v>2869036.23</v>
      </c>
    </row>
    <row r="72" spans="1:32" x14ac:dyDescent="0.25">
      <c r="B72" s="27"/>
      <c r="Z72" s="3"/>
      <c r="AA72" s="3"/>
      <c r="AB72" s="3"/>
      <c r="AC72" s="3"/>
      <c r="AD72" s="3"/>
      <c r="AE72" s="25"/>
      <c r="AF72" s="25"/>
    </row>
    <row r="73" spans="1:32" x14ac:dyDescent="0.25">
      <c r="B73" s="28" t="s">
        <v>133</v>
      </c>
      <c r="W73" s="1"/>
      <c r="Z73" s="25"/>
      <c r="AE73" s="3"/>
    </row>
    <row r="74" spans="1:32" x14ac:dyDescent="0.25">
      <c r="M74" s="1"/>
      <c r="P74" s="1"/>
      <c r="Q74" s="1"/>
      <c r="R74" s="1"/>
      <c r="S74" s="1"/>
      <c r="T74" s="1"/>
      <c r="AB74" s="3"/>
      <c r="AD74" s="20" t="s">
        <v>134</v>
      </c>
      <c r="AE74" s="21">
        <f>AE69-AE71</f>
        <v>1.5</v>
      </c>
      <c r="AF74" s="21">
        <f>AF69-AF71</f>
        <v>-69372.240000000224</v>
      </c>
    </row>
    <row r="75" spans="1:32" x14ac:dyDescent="0.25">
      <c r="D75" s="1"/>
    </row>
    <row r="76" spans="1:32" x14ac:dyDescent="0.25">
      <c r="I76" s="29"/>
      <c r="J76" s="29"/>
      <c r="M76" s="1"/>
    </row>
    <row r="77" spans="1:32" ht="15" x14ac:dyDescent="0.25">
      <c r="A77" s="34">
        <v>17</v>
      </c>
      <c r="B77" s="42" t="s">
        <v>171</v>
      </c>
      <c r="C77" s="56" t="s">
        <v>63</v>
      </c>
      <c r="D77" s="4" t="s">
        <v>172</v>
      </c>
      <c r="E77" s="4" t="s">
        <v>41</v>
      </c>
      <c r="F77" s="71"/>
      <c r="G77" s="71"/>
      <c r="H77" s="71" t="s">
        <v>65</v>
      </c>
      <c r="I77" s="12"/>
      <c r="J77" s="12" t="s">
        <v>37</v>
      </c>
      <c r="K77" s="5">
        <v>3</v>
      </c>
      <c r="L77" s="48">
        <v>17697</v>
      </c>
      <c r="M77" s="70">
        <v>1</v>
      </c>
      <c r="N77" s="48"/>
      <c r="O77" s="48">
        <v>2.0499999999999998</v>
      </c>
      <c r="P77" s="48">
        <f t="shared" ref="P77:P80" si="40">L77*O77</f>
        <v>36278.85</v>
      </c>
      <c r="Q77" s="209">
        <f t="shared" ref="Q77:Q80" si="41">IF(G77&gt;0,25%,0)</f>
        <v>0</v>
      </c>
      <c r="R77" s="53">
        <f t="shared" ref="R77:R80" si="42">ROUND((P77+T77)*Q77,2)</f>
        <v>0</v>
      </c>
      <c r="S77" s="210">
        <f t="shared" ref="S77:S80" si="43">IF(H77&gt;0,10%,0)</f>
        <v>0.1</v>
      </c>
      <c r="T77" s="53">
        <f t="shared" ref="T77:T80" si="44">ROUND(P77*S77*M77,2)</f>
        <v>3627.89</v>
      </c>
      <c r="U77" s="55"/>
      <c r="V77" s="53">
        <f t="shared" ref="V77:V80" si="45">L77*U77*M77</f>
        <v>0</v>
      </c>
      <c r="W77" s="53">
        <f t="shared" ref="W77:W80" si="46">ROUND(P77*M77+T77+R77+V77,2)</f>
        <v>39906.74</v>
      </c>
    </row>
    <row r="78" spans="1:32" ht="15" x14ac:dyDescent="0.25">
      <c r="B78" s="42" t="s">
        <v>171</v>
      </c>
      <c r="C78" s="56" t="s">
        <v>78</v>
      </c>
      <c r="D78" s="4" t="s">
        <v>172</v>
      </c>
      <c r="E78" s="4" t="s">
        <v>41</v>
      </c>
      <c r="F78" s="71"/>
      <c r="G78" s="71"/>
      <c r="H78" s="71" t="s">
        <v>65</v>
      </c>
      <c r="I78" s="12" t="s">
        <v>48</v>
      </c>
      <c r="J78" s="12" t="s">
        <v>49</v>
      </c>
      <c r="K78" s="5">
        <v>4</v>
      </c>
      <c r="L78" s="48">
        <v>17697</v>
      </c>
      <c r="M78" s="70">
        <v>1</v>
      </c>
      <c r="N78" s="5"/>
      <c r="O78" s="48">
        <v>2.34</v>
      </c>
      <c r="P78" s="48">
        <f t="shared" si="40"/>
        <v>41410.979999999996</v>
      </c>
      <c r="Q78" s="49">
        <f t="shared" si="41"/>
        <v>0</v>
      </c>
      <c r="R78" s="50">
        <f t="shared" si="42"/>
        <v>0</v>
      </c>
      <c r="S78" s="51">
        <f t="shared" si="43"/>
        <v>0.1</v>
      </c>
      <c r="T78" s="50">
        <f t="shared" si="44"/>
        <v>4141.1000000000004</v>
      </c>
      <c r="U78" s="52">
        <v>0.4</v>
      </c>
      <c r="V78" s="53">
        <f t="shared" si="45"/>
        <v>7078.8</v>
      </c>
      <c r="W78" s="53">
        <f t="shared" si="46"/>
        <v>52630.879999999997</v>
      </c>
    </row>
    <row r="79" spans="1:32" ht="15" x14ac:dyDescent="0.25">
      <c r="B79" s="46" t="s">
        <v>173</v>
      </c>
      <c r="C79" s="56" t="s">
        <v>54</v>
      </c>
      <c r="D79" s="34" t="s">
        <v>28</v>
      </c>
      <c r="E79" s="34" t="s">
        <v>41</v>
      </c>
      <c r="F79" s="34"/>
      <c r="G79" s="34"/>
      <c r="H79" s="34">
        <v>1</v>
      </c>
      <c r="I79" s="34" t="s">
        <v>48</v>
      </c>
      <c r="J79" s="34" t="s">
        <v>53</v>
      </c>
      <c r="K79" s="35">
        <v>4</v>
      </c>
      <c r="L79" s="68">
        <v>17697</v>
      </c>
      <c r="M79" s="69">
        <v>1</v>
      </c>
      <c r="N79" s="68"/>
      <c r="O79" s="68">
        <v>3.08</v>
      </c>
      <c r="P79" s="68">
        <f t="shared" si="40"/>
        <v>54506.76</v>
      </c>
      <c r="Q79" s="49">
        <f t="shared" si="41"/>
        <v>0</v>
      </c>
      <c r="R79" s="50">
        <f t="shared" si="42"/>
        <v>0</v>
      </c>
      <c r="S79" s="51">
        <f t="shared" si="43"/>
        <v>0.1</v>
      </c>
      <c r="T79" s="50">
        <f t="shared" si="44"/>
        <v>5450.68</v>
      </c>
      <c r="U79" s="52">
        <v>0.4</v>
      </c>
      <c r="V79" s="53">
        <f t="shared" si="45"/>
        <v>7078.8</v>
      </c>
      <c r="W79" s="50">
        <f t="shared" si="46"/>
        <v>67036.240000000005</v>
      </c>
    </row>
    <row r="80" spans="1:32" ht="15" x14ac:dyDescent="0.25">
      <c r="B80" s="46" t="s">
        <v>174</v>
      </c>
      <c r="C80" s="56" t="s">
        <v>60</v>
      </c>
      <c r="D80" s="4" t="s">
        <v>28</v>
      </c>
      <c r="E80" s="4" t="s">
        <v>41</v>
      </c>
      <c r="F80" s="4"/>
      <c r="G80" s="4"/>
      <c r="H80" s="4">
        <v>1</v>
      </c>
      <c r="I80" s="34" t="s">
        <v>48</v>
      </c>
      <c r="J80" s="4" t="s">
        <v>53</v>
      </c>
      <c r="K80" s="5">
        <v>4</v>
      </c>
      <c r="L80" s="48">
        <v>17697</v>
      </c>
      <c r="M80" s="70">
        <v>1</v>
      </c>
      <c r="N80" s="48"/>
      <c r="O80" s="4">
        <v>3.08</v>
      </c>
      <c r="P80" s="68">
        <f t="shared" si="40"/>
        <v>54506.76</v>
      </c>
      <c r="Q80" s="49">
        <f t="shared" si="41"/>
        <v>0</v>
      </c>
      <c r="R80" s="50">
        <f t="shared" si="42"/>
        <v>0</v>
      </c>
      <c r="S80" s="51">
        <f t="shared" si="43"/>
        <v>0.1</v>
      </c>
      <c r="T80" s="50">
        <f t="shared" si="44"/>
        <v>5450.68</v>
      </c>
      <c r="U80" s="52">
        <v>0.4</v>
      </c>
      <c r="V80" s="53">
        <f t="shared" si="45"/>
        <v>7078.8</v>
      </c>
      <c r="W80" s="53">
        <f t="shared" si="46"/>
        <v>67036.240000000005</v>
      </c>
    </row>
    <row r="81" spans="2:23" ht="15" x14ac:dyDescent="0.25">
      <c r="B81" s="46" t="s">
        <v>175</v>
      </c>
      <c r="C81" s="56" t="s">
        <v>60</v>
      </c>
      <c r="D81" s="4" t="s">
        <v>28</v>
      </c>
      <c r="E81" s="4" t="s">
        <v>176</v>
      </c>
      <c r="F81" s="4"/>
      <c r="G81" s="4"/>
      <c r="H81" s="4">
        <v>1</v>
      </c>
      <c r="I81" s="34" t="s">
        <v>48</v>
      </c>
      <c r="J81" s="4" t="s">
        <v>53</v>
      </c>
      <c r="K81" s="5">
        <v>3</v>
      </c>
      <c r="L81" s="48">
        <v>17697</v>
      </c>
      <c r="M81" s="70">
        <v>1</v>
      </c>
      <c r="N81" s="48">
        <v>2</v>
      </c>
      <c r="O81" s="4">
        <v>3.79</v>
      </c>
      <c r="P81" s="68">
        <f t="shared" ref="P81:P84" si="47">L81*O81</f>
        <v>67071.63</v>
      </c>
      <c r="Q81" s="49">
        <f t="shared" ref="Q81:Q84" si="48">IF(G81&gt;0,25%,0)</f>
        <v>0</v>
      </c>
      <c r="R81" s="50">
        <f t="shared" ref="R81:R84" si="49">ROUND((P81+T81)*Q81,2)</f>
        <v>0</v>
      </c>
      <c r="S81" s="51">
        <f t="shared" ref="S81:S84" si="50">IF(H81&gt;0,10%,0)</f>
        <v>0.1</v>
      </c>
      <c r="T81" s="50">
        <f t="shared" ref="T81:T84" si="51">ROUND(P81*S81*M81,2)</f>
        <v>6707.16</v>
      </c>
      <c r="U81" s="52">
        <v>1.4</v>
      </c>
      <c r="V81" s="53">
        <f t="shared" ref="V81:V82" si="52">L81*U81*M81</f>
        <v>24775.8</v>
      </c>
      <c r="W81" s="53">
        <f t="shared" ref="W81:W82" si="53">ROUND(P81*M81+T81+R81+V81,2)</f>
        <v>98554.59</v>
      </c>
    </row>
    <row r="82" spans="2:23" ht="15" x14ac:dyDescent="0.25">
      <c r="B82" s="46" t="s">
        <v>177</v>
      </c>
      <c r="C82" s="56" t="s">
        <v>95</v>
      </c>
      <c r="D82" s="4" t="s">
        <v>35</v>
      </c>
      <c r="E82" s="71" t="s">
        <v>178</v>
      </c>
      <c r="F82" s="71"/>
      <c r="G82" s="71"/>
      <c r="H82" s="71" t="s">
        <v>65</v>
      </c>
      <c r="I82" s="12"/>
      <c r="J82" s="12"/>
      <c r="K82" s="5" t="s">
        <v>94</v>
      </c>
      <c r="L82" s="48">
        <v>17697</v>
      </c>
      <c r="M82" s="70">
        <v>1.25</v>
      </c>
      <c r="N82" s="71"/>
      <c r="O82" s="48">
        <v>1.8</v>
      </c>
      <c r="P82" s="48">
        <f t="shared" si="47"/>
        <v>31854.600000000002</v>
      </c>
      <c r="Q82" s="49">
        <f t="shared" si="48"/>
        <v>0</v>
      </c>
      <c r="R82" s="50">
        <f t="shared" si="49"/>
        <v>0</v>
      </c>
      <c r="S82" s="51">
        <f t="shared" si="50"/>
        <v>0.1</v>
      </c>
      <c r="T82" s="50">
        <f t="shared" si="51"/>
        <v>3981.83</v>
      </c>
      <c r="U82" s="52">
        <v>0.7</v>
      </c>
      <c r="V82" s="53">
        <f t="shared" si="52"/>
        <v>15484.875</v>
      </c>
      <c r="W82" s="53">
        <f t="shared" si="53"/>
        <v>59284.959999999999</v>
      </c>
    </row>
    <row r="83" spans="2:23" ht="39.75" customHeight="1" x14ac:dyDescent="0.25">
      <c r="B83" s="75" t="s">
        <v>179</v>
      </c>
      <c r="C83" s="87" t="s">
        <v>114</v>
      </c>
      <c r="D83" s="77" t="s">
        <v>35</v>
      </c>
      <c r="E83" s="77" t="s">
        <v>41</v>
      </c>
      <c r="F83" s="77"/>
      <c r="G83" s="77"/>
      <c r="H83" s="77">
        <v>1</v>
      </c>
      <c r="I83" s="84"/>
      <c r="J83" s="84"/>
      <c r="K83" s="77">
        <v>2</v>
      </c>
      <c r="L83" s="79">
        <v>17697</v>
      </c>
      <c r="M83" s="85">
        <v>1</v>
      </c>
      <c r="N83" s="85"/>
      <c r="O83" s="77">
        <v>1.71</v>
      </c>
      <c r="P83" s="79">
        <f t="shared" si="47"/>
        <v>30261.87</v>
      </c>
      <c r="Q83" s="80">
        <f t="shared" si="48"/>
        <v>0</v>
      </c>
      <c r="R83" s="81">
        <f t="shared" si="49"/>
        <v>0</v>
      </c>
      <c r="S83" s="82">
        <f t="shared" si="50"/>
        <v>0.1</v>
      </c>
      <c r="T83" s="81">
        <f t="shared" si="51"/>
        <v>3026.19</v>
      </c>
      <c r="U83" s="86"/>
      <c r="V83" s="18"/>
      <c r="W83" s="18">
        <f t="shared" ref="W83:W84" si="54">ROUND(P83*M83+R83+T83+V83,2)</f>
        <v>33288.06</v>
      </c>
    </row>
    <row r="84" spans="2:23" ht="30" x14ac:dyDescent="0.25">
      <c r="B84" s="75" t="s">
        <v>108</v>
      </c>
      <c r="C84" s="87" t="s">
        <v>113</v>
      </c>
      <c r="D84" s="77" t="s">
        <v>28</v>
      </c>
      <c r="E84" s="77" t="s">
        <v>41</v>
      </c>
      <c r="F84" s="77"/>
      <c r="G84" s="77"/>
      <c r="H84" s="77">
        <v>1</v>
      </c>
      <c r="I84" s="84"/>
      <c r="J84" s="84"/>
      <c r="K84" s="77">
        <v>2</v>
      </c>
      <c r="L84" s="79">
        <v>17697</v>
      </c>
      <c r="M84" s="85">
        <v>1</v>
      </c>
      <c r="N84" s="85"/>
      <c r="O84" s="77">
        <v>1.71</v>
      </c>
      <c r="P84" s="79">
        <f t="shared" si="47"/>
        <v>30261.87</v>
      </c>
      <c r="Q84" s="80">
        <f t="shared" si="48"/>
        <v>0</v>
      </c>
      <c r="R84" s="81">
        <f t="shared" si="49"/>
        <v>0</v>
      </c>
      <c r="S84" s="82">
        <f t="shared" si="50"/>
        <v>0.1</v>
      </c>
      <c r="T84" s="81">
        <f t="shared" si="51"/>
        <v>3026.19</v>
      </c>
      <c r="U84" s="86">
        <v>0.3</v>
      </c>
      <c r="V84" s="53">
        <f t="shared" ref="V84" si="55">L84*U84*M84</f>
        <v>5309.0999999999995</v>
      </c>
      <c r="W84" s="18">
        <f t="shared" si="54"/>
        <v>38597.160000000003</v>
      </c>
    </row>
  </sheetData>
  <mergeCells count="48">
    <mergeCell ref="A2:W2"/>
    <mergeCell ref="A3:W3"/>
    <mergeCell ref="S5:T5"/>
    <mergeCell ref="Z5:Z6"/>
    <mergeCell ref="AA5:AA6"/>
    <mergeCell ref="AD5:AD6"/>
    <mergeCell ref="AE5:AE6"/>
    <mergeCell ref="AF5:AF6"/>
    <mergeCell ref="A7:A8"/>
    <mergeCell ref="B7:B8"/>
    <mergeCell ref="C7:C8"/>
    <mergeCell ref="D7:D8"/>
    <mergeCell ref="E7:E8"/>
    <mergeCell ref="F7:F8"/>
    <mergeCell ref="G7:G8"/>
    <mergeCell ref="AB5:AB6"/>
    <mergeCell ref="H7:H8"/>
    <mergeCell ref="I7:I8"/>
    <mergeCell ref="J7:J8"/>
    <mergeCell ref="K7:K8"/>
    <mergeCell ref="L7:L8"/>
    <mergeCell ref="C71:E71"/>
    <mergeCell ref="K71:M71"/>
    <mergeCell ref="AF7:AF8"/>
    <mergeCell ref="A15:D15"/>
    <mergeCell ref="A50:D50"/>
    <mergeCell ref="A64:D64"/>
    <mergeCell ref="A65:D65"/>
    <mergeCell ref="C67:D67"/>
    <mergeCell ref="K67:M67"/>
    <mergeCell ref="W7:W8"/>
    <mergeCell ref="Z7:Z8"/>
    <mergeCell ref="AA7:AA8"/>
    <mergeCell ref="AB7:AB8"/>
    <mergeCell ref="AD7:AD8"/>
    <mergeCell ref="O7:O8"/>
    <mergeCell ref="P7:P8"/>
    <mergeCell ref="AE7:AE8"/>
    <mergeCell ref="C68:E68"/>
    <mergeCell ref="K68:M68"/>
    <mergeCell ref="AD68:AD69"/>
    <mergeCell ref="C70:D70"/>
    <mergeCell ref="K70:M70"/>
    <mergeCell ref="M7:M8"/>
    <mergeCell ref="U7:V7"/>
    <mergeCell ref="Q7:R7"/>
    <mergeCell ref="S7:T7"/>
    <mergeCell ref="N7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7"/>
  <sheetViews>
    <sheetView zoomScaleNormal="100" workbookViewId="0">
      <selection sqref="A1:XFD1048576"/>
    </sheetView>
  </sheetViews>
  <sheetFormatPr defaultRowHeight="15.75" x14ac:dyDescent="0.25"/>
  <cols>
    <col min="1" max="1" width="5" style="101" customWidth="1"/>
    <col min="2" max="2" width="23.85546875" style="105" customWidth="1"/>
    <col min="3" max="4" width="5.7109375" style="105" customWidth="1"/>
    <col min="5" max="5" width="7.5703125" style="101" customWidth="1"/>
    <col min="6" max="6" width="9.7109375" style="185" customWidth="1"/>
    <col min="7" max="7" width="6" style="185" customWidth="1"/>
    <col min="8" max="8" width="12.28515625" style="185" customWidth="1"/>
    <col min="9" max="9" width="17.28515625" style="185" customWidth="1"/>
    <col min="10" max="10" width="6.28515625" style="185" hidden="1" customWidth="1"/>
    <col min="11" max="11" width="11.42578125" style="185" hidden="1" customWidth="1"/>
    <col min="12" max="12" width="6.85546875" style="185" customWidth="1"/>
    <col min="13" max="13" width="17" style="185" customWidth="1"/>
    <col min="14" max="14" width="5.7109375" style="185" customWidth="1"/>
    <col min="15" max="15" width="15" style="185" customWidth="1"/>
    <col min="16" max="16" width="18.140625" style="186" customWidth="1"/>
    <col min="17" max="17" width="18" style="101" customWidth="1"/>
    <col min="18" max="18" width="13.42578125" style="101" customWidth="1"/>
    <col min="19" max="19" width="15" style="101" customWidth="1"/>
    <col min="20" max="20" width="25.28515625" style="101" customWidth="1"/>
    <col min="21" max="21" width="25.7109375" style="101" customWidth="1"/>
    <col min="22" max="16384" width="9.140625" style="101"/>
  </cols>
  <sheetData>
    <row r="1" spans="1:29" ht="14.25" customHeight="1" x14ac:dyDescent="0.25">
      <c r="B1" s="102"/>
      <c r="C1" s="102"/>
      <c r="D1" s="102"/>
      <c r="E1" s="103"/>
      <c r="F1" s="104"/>
      <c r="G1" s="497" t="s">
        <v>135</v>
      </c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29" ht="25.5" customHeight="1" x14ac:dyDescent="0.25">
      <c r="B2" s="498"/>
      <c r="C2" s="498"/>
      <c r="D2" s="498"/>
      <c r="E2" s="498"/>
      <c r="F2" s="104"/>
      <c r="G2" s="499" t="s">
        <v>136</v>
      </c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29" ht="12" customHeight="1" x14ac:dyDescent="0.25">
      <c r="E3" s="103"/>
      <c r="F3" s="104"/>
      <c r="G3" s="499" t="s">
        <v>137</v>
      </c>
      <c r="H3" s="499"/>
      <c r="I3" s="499"/>
      <c r="J3" s="499"/>
      <c r="K3" s="499"/>
      <c r="L3" s="499"/>
      <c r="M3" s="499"/>
      <c r="N3" s="499"/>
      <c r="O3" s="106"/>
      <c r="P3" s="107"/>
      <c r="Q3" s="106"/>
    </row>
    <row r="4" spans="1:29" ht="13.5" customHeight="1" x14ac:dyDescent="0.25">
      <c r="E4" s="103"/>
      <c r="F4" s="104"/>
      <c r="G4" s="104"/>
      <c r="H4" s="104"/>
      <c r="I4" s="495" t="s">
        <v>138</v>
      </c>
      <c r="J4" s="495"/>
      <c r="K4" s="495"/>
      <c r="L4" s="495"/>
      <c r="M4" s="495"/>
      <c r="N4" s="500"/>
      <c r="O4" s="500"/>
      <c r="P4" s="500"/>
      <c r="Q4" s="500"/>
    </row>
    <row r="5" spans="1:29" ht="13.5" customHeight="1" x14ac:dyDescent="0.25">
      <c r="E5" s="103"/>
      <c r="F5" s="104"/>
      <c r="G5" s="495" t="s">
        <v>214</v>
      </c>
      <c r="H5" s="495"/>
      <c r="I5" s="495"/>
      <c r="J5" s="495"/>
      <c r="K5" s="495"/>
      <c r="L5" s="495"/>
      <c r="M5" s="495"/>
      <c r="N5" s="496"/>
      <c r="O5" s="496"/>
      <c r="P5" s="496"/>
      <c r="Q5" s="496"/>
    </row>
    <row r="6" spans="1:29" ht="22.5" customHeight="1" x14ac:dyDescent="0.25">
      <c r="E6" s="103"/>
      <c r="F6" s="501" t="s">
        <v>215</v>
      </c>
      <c r="G6" s="501"/>
      <c r="H6" s="501"/>
      <c r="I6" s="501"/>
      <c r="J6" s="501"/>
      <c r="K6" s="501"/>
      <c r="L6" s="501"/>
      <c r="M6" s="501"/>
      <c r="N6" s="500"/>
      <c r="O6" s="500"/>
      <c r="P6" s="500"/>
      <c r="Q6" s="500"/>
    </row>
    <row r="7" spans="1:29" ht="11.25" customHeight="1" x14ac:dyDescent="0.25">
      <c r="B7" s="31"/>
      <c r="C7" s="31"/>
      <c r="D7" s="31"/>
      <c r="E7" s="31"/>
      <c r="F7" s="31"/>
      <c r="G7" s="502" t="s">
        <v>139</v>
      </c>
      <c r="H7" s="502"/>
      <c r="I7" s="502"/>
      <c r="J7" s="502"/>
      <c r="K7" s="502"/>
      <c r="L7" s="502"/>
      <c r="M7" s="502"/>
      <c r="N7" s="500"/>
      <c r="O7" s="500"/>
      <c r="P7" s="500"/>
      <c r="Q7" s="500"/>
    </row>
    <row r="8" spans="1:29" ht="14.25" customHeight="1" x14ac:dyDescent="0.25">
      <c r="B8" s="31"/>
      <c r="C8" s="31"/>
      <c r="D8" s="31"/>
      <c r="E8" s="31"/>
      <c r="F8" s="31"/>
      <c r="G8" s="108"/>
      <c r="H8" s="108"/>
      <c r="I8" s="108"/>
      <c r="J8" s="108"/>
      <c r="K8" s="108"/>
      <c r="L8" s="108"/>
      <c r="M8" s="108"/>
      <c r="N8" s="101"/>
      <c r="O8" s="101"/>
      <c r="P8" s="109"/>
    </row>
    <row r="9" spans="1:29" ht="12.75" hidden="1" customHeight="1" x14ac:dyDescent="0.25"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</row>
    <row r="10" spans="1:29" ht="15" customHeight="1" x14ac:dyDescent="0.25">
      <c r="A10" s="497" t="s">
        <v>140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T10" s="110"/>
    </row>
    <row r="11" spans="1:29" ht="12.75" customHeight="1" x14ac:dyDescent="0.25">
      <c r="A11" s="503" t="s">
        <v>141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</row>
    <row r="12" spans="1:29" x14ac:dyDescent="0.25">
      <c r="A12" s="499" t="s">
        <v>142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T12" s="104"/>
      <c r="U12" s="104"/>
      <c r="V12" s="104"/>
      <c r="W12" s="497"/>
      <c r="X12" s="497"/>
      <c r="Y12" s="497"/>
      <c r="Z12" s="497"/>
      <c r="AA12" s="497"/>
      <c r="AB12" s="497"/>
      <c r="AC12" s="497"/>
    </row>
    <row r="13" spans="1:29" ht="16.5" thickBot="1" x14ac:dyDescent="0.3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2"/>
      <c r="T13" s="104"/>
      <c r="U13" s="499"/>
      <c r="V13" s="499"/>
      <c r="W13" s="505"/>
      <c r="X13" s="505"/>
      <c r="Y13" s="505"/>
      <c r="Z13" s="505"/>
      <c r="AA13" s="505"/>
      <c r="AB13" s="505"/>
      <c r="AC13" s="505"/>
    </row>
    <row r="14" spans="1:29" s="113" customFormat="1" ht="69.75" customHeight="1" thickBot="1" x14ac:dyDescent="0.3">
      <c r="A14" s="509" t="s">
        <v>143</v>
      </c>
      <c r="B14" s="509" t="s">
        <v>144</v>
      </c>
      <c r="C14" s="509" t="s">
        <v>13</v>
      </c>
      <c r="D14" s="509" t="s">
        <v>14</v>
      </c>
      <c r="E14" s="509" t="s">
        <v>15</v>
      </c>
      <c r="F14" s="509" t="s">
        <v>145</v>
      </c>
      <c r="G14" s="509" t="s">
        <v>146</v>
      </c>
      <c r="H14" s="509" t="s">
        <v>147</v>
      </c>
      <c r="I14" s="509" t="s">
        <v>148</v>
      </c>
      <c r="J14" s="511" t="s">
        <v>20</v>
      </c>
      <c r="K14" s="512"/>
      <c r="L14" s="511" t="s">
        <v>21</v>
      </c>
      <c r="M14" s="512"/>
      <c r="N14" s="511" t="s">
        <v>149</v>
      </c>
      <c r="O14" s="512"/>
      <c r="P14" s="513" t="s">
        <v>150</v>
      </c>
      <c r="Q14" s="506" t="s">
        <v>151</v>
      </c>
      <c r="T14" s="104"/>
      <c r="U14" s="104"/>
      <c r="V14" s="104"/>
      <c r="W14" s="495"/>
      <c r="X14" s="495"/>
      <c r="Y14" s="495"/>
      <c r="Z14" s="495"/>
      <c r="AA14" s="495"/>
      <c r="AB14" s="495"/>
      <c r="AC14" s="495"/>
    </row>
    <row r="15" spans="1:29" s="113" customFormat="1" ht="29.25" customHeight="1" thickBot="1" x14ac:dyDescent="0.3">
      <c r="A15" s="510"/>
      <c r="B15" s="510"/>
      <c r="C15" s="510"/>
      <c r="D15" s="510"/>
      <c r="E15" s="510"/>
      <c r="F15" s="510"/>
      <c r="G15" s="510"/>
      <c r="H15" s="510"/>
      <c r="I15" s="510"/>
      <c r="J15" s="38" t="s">
        <v>24</v>
      </c>
      <c r="K15" s="38" t="s">
        <v>25</v>
      </c>
      <c r="L15" s="38" t="s">
        <v>24</v>
      </c>
      <c r="M15" s="38" t="s">
        <v>25</v>
      </c>
      <c r="N15" s="38" t="s">
        <v>24</v>
      </c>
      <c r="O15" s="38" t="s">
        <v>152</v>
      </c>
      <c r="P15" s="514"/>
      <c r="Q15" s="507"/>
      <c r="T15" s="104"/>
      <c r="U15" s="508"/>
      <c r="V15" s="508"/>
      <c r="W15" s="508"/>
      <c r="X15" s="508"/>
      <c r="Y15" s="508"/>
      <c r="Z15" s="508"/>
      <c r="AA15" s="508"/>
      <c r="AB15" s="508"/>
      <c r="AC15" s="508"/>
    </row>
    <row r="16" spans="1:29" ht="39.75" customHeight="1" x14ac:dyDescent="0.25">
      <c r="A16" s="114"/>
      <c r="B16" s="115" t="s">
        <v>153</v>
      </c>
      <c r="C16" s="115"/>
      <c r="D16" s="115"/>
      <c r="E16" s="116"/>
      <c r="F16" s="117"/>
      <c r="G16" s="117"/>
      <c r="H16" s="117"/>
      <c r="I16" s="118"/>
      <c r="J16" s="118"/>
      <c r="K16" s="118"/>
      <c r="L16" s="118"/>
      <c r="M16" s="118"/>
      <c r="N16" s="118"/>
      <c r="O16" s="118"/>
      <c r="P16" s="119"/>
      <c r="Q16" s="120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</row>
    <row r="17" spans="1:29" ht="12.75" customHeight="1" x14ac:dyDescent="0.25">
      <c r="A17" s="114"/>
      <c r="B17" s="121" t="s">
        <v>154</v>
      </c>
      <c r="C17" s="122" t="s">
        <v>30</v>
      </c>
      <c r="D17" s="122" t="s">
        <v>31</v>
      </c>
      <c r="E17" s="123">
        <v>3</v>
      </c>
      <c r="F17" s="124">
        <v>1</v>
      </c>
      <c r="G17" s="123">
        <v>4.9400000000000004</v>
      </c>
      <c r="H17" s="125">
        <v>17697</v>
      </c>
      <c r="I17" s="125">
        <f t="shared" ref="I17:I22" si="0">G17*H17</f>
        <v>87423.180000000008</v>
      </c>
      <c r="J17" s="126">
        <v>0</v>
      </c>
      <c r="K17" s="124">
        <f>ROUND(I17*J17,2)+(M17*J17)</f>
        <v>0</v>
      </c>
      <c r="L17" s="126">
        <v>0.1</v>
      </c>
      <c r="M17" s="125">
        <f>ROUND(I17*L17*F17,2)</f>
        <v>8742.32</v>
      </c>
      <c r="N17" s="126">
        <v>0.3</v>
      </c>
      <c r="O17" s="124">
        <f t="shared" ref="O17:O22" si="1">ROUND(H17*N17,2)</f>
        <v>5309.1</v>
      </c>
      <c r="P17" s="229">
        <f t="shared" ref="P17:P22" si="2">ROUND((I17*F17)+M17+K17+O17,2)</f>
        <v>101474.6</v>
      </c>
      <c r="Q17" s="128">
        <f t="shared" ref="Q17:Q22" si="3">P17*12</f>
        <v>1217695.2000000002</v>
      </c>
      <c r="S17" s="129"/>
      <c r="T17" s="31"/>
      <c r="U17" s="502"/>
      <c r="V17" s="502"/>
      <c r="W17" s="502"/>
      <c r="X17" s="502"/>
      <c r="Y17" s="502"/>
      <c r="Z17" s="502"/>
      <c r="AA17" s="502"/>
      <c r="AB17" s="502"/>
      <c r="AC17" s="502"/>
    </row>
    <row r="18" spans="1:29" ht="12.75" hidden="1" customHeight="1" x14ac:dyDescent="0.25">
      <c r="A18" s="114"/>
      <c r="B18" s="121" t="s">
        <v>32</v>
      </c>
      <c r="C18" s="122" t="s">
        <v>30</v>
      </c>
      <c r="D18" s="122" t="s">
        <v>31</v>
      </c>
      <c r="E18" s="123">
        <v>3</v>
      </c>
      <c r="F18" s="124"/>
      <c r="G18" s="124"/>
      <c r="H18" s="125">
        <v>17697</v>
      </c>
      <c r="I18" s="125">
        <f t="shared" si="0"/>
        <v>0</v>
      </c>
      <c r="J18" s="126">
        <v>0</v>
      </c>
      <c r="K18" s="124">
        <f>ROUND(I18*J18,2)+(M18*J18)</f>
        <v>0</v>
      </c>
      <c r="L18" s="126">
        <v>0.1</v>
      </c>
      <c r="M18" s="125">
        <f>ROUND(I18*L18*F18,2)</f>
        <v>0</v>
      </c>
      <c r="N18" s="126"/>
      <c r="O18" s="124">
        <f t="shared" si="1"/>
        <v>0</v>
      </c>
      <c r="P18" s="127">
        <f t="shared" si="2"/>
        <v>0</v>
      </c>
      <c r="Q18" s="128">
        <f t="shared" si="3"/>
        <v>0</v>
      </c>
      <c r="R18" s="130"/>
      <c r="S18" s="129"/>
      <c r="T18" s="31"/>
      <c r="U18" s="108"/>
      <c r="V18" s="108"/>
      <c r="W18" s="108"/>
      <c r="X18" s="108"/>
      <c r="Y18" s="108"/>
      <c r="Z18" s="108"/>
      <c r="AA18" s="108"/>
      <c r="AB18" s="108"/>
      <c r="AC18" s="108"/>
    </row>
    <row r="19" spans="1:29" ht="12.75" hidden="1" customHeight="1" x14ac:dyDescent="0.25">
      <c r="A19" s="114"/>
      <c r="B19" s="121" t="s">
        <v>33</v>
      </c>
      <c r="C19" s="131"/>
      <c r="D19" s="131"/>
      <c r="E19" s="123">
        <v>3</v>
      </c>
      <c r="F19" s="124"/>
      <c r="G19" s="124"/>
      <c r="H19" s="125">
        <v>17697</v>
      </c>
      <c r="I19" s="125">
        <f t="shared" si="0"/>
        <v>0</v>
      </c>
      <c r="J19" s="126">
        <v>0</v>
      </c>
      <c r="K19" s="124">
        <f>ROUND(I19*J19,2)+(M19*J19)</f>
        <v>0</v>
      </c>
      <c r="L19" s="126">
        <v>0.1</v>
      </c>
      <c r="M19" s="125">
        <f>ROUND(I19*L19*1.5,2)</f>
        <v>0</v>
      </c>
      <c r="N19" s="126"/>
      <c r="O19" s="124">
        <f t="shared" si="1"/>
        <v>0</v>
      </c>
      <c r="P19" s="127">
        <f t="shared" si="2"/>
        <v>0</v>
      </c>
      <c r="Q19" s="128">
        <f t="shared" si="3"/>
        <v>0</v>
      </c>
      <c r="R19" s="130"/>
      <c r="S19" s="129"/>
      <c r="T19" s="132"/>
      <c r="U19" s="129"/>
    </row>
    <row r="20" spans="1:29" ht="12.75" customHeight="1" x14ac:dyDescent="0.25">
      <c r="A20" s="114"/>
      <c r="B20" s="121" t="s">
        <v>34</v>
      </c>
      <c r="C20" s="131"/>
      <c r="D20" s="133" t="s">
        <v>37</v>
      </c>
      <c r="E20" s="134">
        <v>3</v>
      </c>
      <c r="F20" s="124">
        <v>1</v>
      </c>
      <c r="G20" s="123">
        <v>2.4</v>
      </c>
      <c r="H20" s="125">
        <v>17697</v>
      </c>
      <c r="I20" s="125">
        <f t="shared" si="0"/>
        <v>42472.799999999996</v>
      </c>
      <c r="J20" s="126">
        <v>0</v>
      </c>
      <c r="K20" s="124">
        <f>ROUND(I20*J20,2)</f>
        <v>0</v>
      </c>
      <c r="L20" s="126">
        <v>0.1</v>
      </c>
      <c r="M20" s="125">
        <f>ROUND(I20*L20*F20,2)</f>
        <v>4247.28</v>
      </c>
      <c r="N20" s="126"/>
      <c r="O20" s="124">
        <f t="shared" si="1"/>
        <v>0</v>
      </c>
      <c r="P20" s="127">
        <f t="shared" si="2"/>
        <v>46720.08</v>
      </c>
      <c r="Q20" s="128">
        <f t="shared" si="3"/>
        <v>560640.96</v>
      </c>
      <c r="S20" s="129"/>
      <c r="T20" s="132"/>
      <c r="U20" s="129"/>
    </row>
    <row r="21" spans="1:29" ht="12.75" hidden="1" customHeight="1" x14ac:dyDescent="0.25">
      <c r="A21" s="114"/>
      <c r="B21" s="135" t="s">
        <v>38</v>
      </c>
      <c r="C21" s="131"/>
      <c r="D21" s="136"/>
      <c r="E21" s="134"/>
      <c r="F21" s="124"/>
      <c r="G21" s="123"/>
      <c r="H21" s="125">
        <v>17697</v>
      </c>
      <c r="I21" s="125">
        <f t="shared" si="0"/>
        <v>0</v>
      </c>
      <c r="J21" s="126">
        <v>0</v>
      </c>
      <c r="K21" s="124">
        <f>ROUND(I21*J21,2)</f>
        <v>0</v>
      </c>
      <c r="L21" s="126">
        <v>0.1</v>
      </c>
      <c r="M21" s="125">
        <f>ROUND(I21*L21*F21,2)</f>
        <v>0</v>
      </c>
      <c r="N21" s="126"/>
      <c r="O21" s="124">
        <f t="shared" si="1"/>
        <v>0</v>
      </c>
      <c r="P21" s="127">
        <f t="shared" si="2"/>
        <v>0</v>
      </c>
      <c r="Q21" s="128">
        <f t="shared" si="3"/>
        <v>0</v>
      </c>
      <c r="S21" s="129"/>
      <c r="T21" s="132"/>
      <c r="U21" s="129"/>
    </row>
    <row r="22" spans="1:29" ht="12.75" customHeight="1" thickBot="1" x14ac:dyDescent="0.3">
      <c r="A22" s="114"/>
      <c r="B22" s="131" t="s">
        <v>40</v>
      </c>
      <c r="C22" s="131"/>
      <c r="D22" s="137" t="s">
        <v>37</v>
      </c>
      <c r="E22" s="138">
        <v>2</v>
      </c>
      <c r="F22" s="124">
        <v>0.5</v>
      </c>
      <c r="G22" s="124">
        <v>3.29</v>
      </c>
      <c r="H22" s="125">
        <v>17697</v>
      </c>
      <c r="I22" s="125">
        <f t="shared" si="0"/>
        <v>58223.13</v>
      </c>
      <c r="J22" s="126">
        <v>0</v>
      </c>
      <c r="K22" s="124">
        <f>ROUND(I22*J22,2)</f>
        <v>0</v>
      </c>
      <c r="L22" s="126">
        <v>0.1</v>
      </c>
      <c r="M22" s="125">
        <f>ROUND(I22*L22*F22,2)</f>
        <v>2911.16</v>
      </c>
      <c r="N22" s="126"/>
      <c r="O22" s="124">
        <f t="shared" si="1"/>
        <v>0</v>
      </c>
      <c r="P22" s="229">
        <f t="shared" si="2"/>
        <v>32022.73</v>
      </c>
      <c r="Q22" s="128">
        <f t="shared" si="3"/>
        <v>384272.76</v>
      </c>
      <c r="R22" s="130"/>
      <c r="S22" s="129"/>
      <c r="T22" s="132"/>
      <c r="U22" s="129"/>
    </row>
    <row r="23" spans="1:29" s="144" customFormat="1" ht="16.5" customHeight="1" thickBot="1" x14ac:dyDescent="0.3">
      <c r="A23" s="518" t="s">
        <v>42</v>
      </c>
      <c r="B23" s="519"/>
      <c r="C23" s="139"/>
      <c r="D23" s="139"/>
      <c r="E23" s="140"/>
      <c r="F23" s="141">
        <f>SUM(F17:F22)</f>
        <v>2.5</v>
      </c>
      <c r="G23" s="141"/>
      <c r="H23" s="141"/>
      <c r="I23" s="141">
        <f>SUM(I17:I22)</f>
        <v>188119.11000000002</v>
      </c>
      <c r="J23" s="141"/>
      <c r="K23" s="141">
        <f>SUM(K17:K22)</f>
        <v>0</v>
      </c>
      <c r="L23" s="141"/>
      <c r="M23" s="141">
        <f>SUM(M17:M22)</f>
        <v>15900.759999999998</v>
      </c>
      <c r="N23" s="142"/>
      <c r="O23" s="141">
        <f>SUM(O17:O22)</f>
        <v>5309.1</v>
      </c>
      <c r="P23" s="141">
        <f>ROUND(SUM(P17:P22),2)</f>
        <v>180217.41</v>
      </c>
      <c r="Q23" s="143">
        <f>SUM(Q17:Q22)</f>
        <v>2162608.92</v>
      </c>
      <c r="S23" s="145">
        <f>'[1]РАСЧЁТЫ по действующей системе'!W15</f>
        <v>129895.99</v>
      </c>
      <c r="T23" s="146">
        <f>P23-S23</f>
        <v>50321.42</v>
      </c>
      <c r="U23" s="146" t="b">
        <f>IF(P23&lt;&gt;S23,FALSE,0)</f>
        <v>0</v>
      </c>
    </row>
    <row r="24" spans="1:29" ht="39.75" customHeight="1" x14ac:dyDescent="0.25">
      <c r="A24" s="114"/>
      <c r="B24" s="147" t="s">
        <v>155</v>
      </c>
      <c r="C24" s="148"/>
      <c r="D24" s="148"/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2"/>
      <c r="R24" s="130"/>
      <c r="S24" s="129"/>
      <c r="U24" s="129"/>
    </row>
    <row r="25" spans="1:29" ht="16.5" customHeight="1" x14ac:dyDescent="0.25">
      <c r="A25" s="114"/>
      <c r="B25" s="153" t="s">
        <v>46</v>
      </c>
      <c r="C25" s="154" t="s">
        <v>48</v>
      </c>
      <c r="D25" s="154" t="s">
        <v>53</v>
      </c>
      <c r="E25" s="155">
        <v>2</v>
      </c>
      <c r="F25" s="124">
        <v>0.75</v>
      </c>
      <c r="G25" s="124">
        <v>3.96</v>
      </c>
      <c r="H25" s="125">
        <v>17697</v>
      </c>
      <c r="I25" s="127">
        <f t="shared" ref="I25:I40" si="4">G25*H25</f>
        <v>70080.12</v>
      </c>
      <c r="J25" s="126">
        <v>0</v>
      </c>
      <c r="K25" s="124">
        <f t="shared" ref="K25:K42" si="5">ROUND(I25*J25,2)+(M25*J25)</f>
        <v>0</v>
      </c>
      <c r="L25" s="126">
        <v>0.1</v>
      </c>
      <c r="M25" s="125">
        <f t="shared" ref="M25:M42" si="6">ROUND(I25*L25*F25,2)</f>
        <v>5256.01</v>
      </c>
      <c r="N25" s="126">
        <v>0.4</v>
      </c>
      <c r="O25" s="124">
        <f>ROUND(H25*N25*F25,2)</f>
        <v>5309.1</v>
      </c>
      <c r="P25" s="127">
        <f t="shared" ref="P25:P38" si="7">ROUND((I25*F25)+M25+K25+O25,2)</f>
        <v>63125.2</v>
      </c>
      <c r="Q25" s="128">
        <f>P25*12</f>
        <v>757502.39999999991</v>
      </c>
      <c r="S25" s="129"/>
      <c r="T25" s="132"/>
      <c r="U25" s="129"/>
    </row>
    <row r="26" spans="1:29" ht="12.75" customHeight="1" x14ac:dyDescent="0.25">
      <c r="A26" s="114"/>
      <c r="B26" s="135" t="s">
        <v>156</v>
      </c>
      <c r="C26" s="154" t="s">
        <v>48</v>
      </c>
      <c r="D26" s="154" t="s">
        <v>53</v>
      </c>
      <c r="E26" s="155">
        <v>4</v>
      </c>
      <c r="F26" s="124">
        <v>1</v>
      </c>
      <c r="G26" s="124">
        <v>3.2</v>
      </c>
      <c r="H26" s="125">
        <v>17697</v>
      </c>
      <c r="I26" s="127">
        <f t="shared" si="4"/>
        <v>56630.400000000001</v>
      </c>
      <c r="J26" s="126">
        <v>0</v>
      </c>
      <c r="K26" s="124">
        <f t="shared" si="5"/>
        <v>0</v>
      </c>
      <c r="L26" s="126">
        <v>0.1</v>
      </c>
      <c r="M26" s="125">
        <f t="shared" si="6"/>
        <v>5663.04</v>
      </c>
      <c r="N26" s="126">
        <v>0.4</v>
      </c>
      <c r="O26" s="124">
        <f t="shared" ref="O26:O42" si="8">ROUND(H26*N26*F26,2)</f>
        <v>7078.8</v>
      </c>
      <c r="P26" s="127">
        <f t="shared" si="7"/>
        <v>69372.240000000005</v>
      </c>
      <c r="Q26" s="128">
        <f t="shared" ref="Q26:Q42" si="9">P26*12</f>
        <v>832466.88000000012</v>
      </c>
      <c r="S26" s="129"/>
      <c r="T26" s="132"/>
      <c r="U26" s="129"/>
    </row>
    <row r="27" spans="1:29" x14ac:dyDescent="0.25">
      <c r="A27" s="114"/>
      <c r="B27" s="135" t="s">
        <v>58</v>
      </c>
      <c r="C27" s="154" t="s">
        <v>48</v>
      </c>
      <c r="D27" s="133" t="s">
        <v>56</v>
      </c>
      <c r="E27" s="134">
        <v>4</v>
      </c>
      <c r="F27" s="124">
        <v>0.5</v>
      </c>
      <c r="G27" s="124">
        <v>2.92</v>
      </c>
      <c r="H27" s="125">
        <v>17697</v>
      </c>
      <c r="I27" s="127">
        <f t="shared" si="4"/>
        <v>51675.24</v>
      </c>
      <c r="J27" s="126">
        <v>0</v>
      </c>
      <c r="K27" s="124">
        <f t="shared" si="5"/>
        <v>0</v>
      </c>
      <c r="L27" s="126">
        <v>0.1</v>
      </c>
      <c r="M27" s="125">
        <f t="shared" si="6"/>
        <v>2583.7600000000002</v>
      </c>
      <c r="N27" s="126">
        <v>0.4</v>
      </c>
      <c r="O27" s="124">
        <f t="shared" si="8"/>
        <v>3539.4</v>
      </c>
      <c r="P27" s="127">
        <f t="shared" si="7"/>
        <v>31960.78</v>
      </c>
      <c r="Q27" s="128">
        <f t="shared" si="9"/>
        <v>383529.36</v>
      </c>
      <c r="S27" s="129"/>
      <c r="T27" s="132"/>
      <c r="U27" s="129"/>
    </row>
    <row r="28" spans="1:29" x14ac:dyDescent="0.25">
      <c r="A28" s="114"/>
      <c r="B28" s="135" t="s">
        <v>60</v>
      </c>
      <c r="C28" s="154" t="s">
        <v>48</v>
      </c>
      <c r="D28" s="133" t="s">
        <v>53</v>
      </c>
      <c r="E28" s="134">
        <v>4</v>
      </c>
      <c r="F28" s="124">
        <v>1</v>
      </c>
      <c r="G28" s="124">
        <v>3.08</v>
      </c>
      <c r="H28" s="125">
        <v>17697</v>
      </c>
      <c r="I28" s="125">
        <f t="shared" si="4"/>
        <v>54506.76</v>
      </c>
      <c r="J28" s="126">
        <v>0</v>
      </c>
      <c r="K28" s="124">
        <f t="shared" si="5"/>
        <v>0</v>
      </c>
      <c r="L28" s="126">
        <v>0.1</v>
      </c>
      <c r="M28" s="127">
        <f t="shared" si="6"/>
        <v>5450.68</v>
      </c>
      <c r="N28" s="126">
        <v>0.4</v>
      </c>
      <c r="O28" s="124">
        <f t="shared" si="8"/>
        <v>7078.8</v>
      </c>
      <c r="P28" s="127">
        <f t="shared" si="7"/>
        <v>67036.240000000005</v>
      </c>
      <c r="Q28" s="128">
        <f t="shared" si="9"/>
        <v>804434.88000000012</v>
      </c>
      <c r="R28" s="130"/>
      <c r="S28" s="129"/>
      <c r="T28" s="132"/>
      <c r="U28" s="129"/>
    </row>
    <row r="29" spans="1:29" x14ac:dyDescent="0.25">
      <c r="A29" s="114"/>
      <c r="B29" s="135" t="s">
        <v>60</v>
      </c>
      <c r="C29" s="154" t="s">
        <v>48</v>
      </c>
      <c r="D29" s="133" t="s">
        <v>53</v>
      </c>
      <c r="E29" s="134">
        <v>4</v>
      </c>
      <c r="F29" s="124">
        <v>1</v>
      </c>
      <c r="G29" s="124">
        <v>3.58</v>
      </c>
      <c r="H29" s="125">
        <v>17697</v>
      </c>
      <c r="I29" s="125">
        <f t="shared" ref="I29" si="10">G29*H29</f>
        <v>63355.26</v>
      </c>
      <c r="J29" s="126">
        <v>0</v>
      </c>
      <c r="K29" s="124">
        <f t="shared" ref="K29" si="11">ROUND(I29*J29,2)+(M29*J29)</f>
        <v>0</v>
      </c>
      <c r="L29" s="126">
        <v>0.1</v>
      </c>
      <c r="M29" s="127">
        <f t="shared" ref="M29" si="12">ROUND(I29*L29*F29,2)</f>
        <v>6335.53</v>
      </c>
      <c r="N29" s="126">
        <v>0.4</v>
      </c>
      <c r="O29" s="124">
        <f t="shared" ref="O29" si="13">ROUND(H29*N29*F29,2)</f>
        <v>7078.8</v>
      </c>
      <c r="P29" s="127">
        <f t="shared" si="7"/>
        <v>76769.59</v>
      </c>
      <c r="Q29" s="128">
        <f t="shared" ref="Q29" si="14">P29*12</f>
        <v>921235.08</v>
      </c>
      <c r="R29" s="130"/>
      <c r="S29" s="129"/>
      <c r="T29" s="132"/>
      <c r="U29" s="129"/>
    </row>
    <row r="30" spans="1:29" x14ac:dyDescent="0.25">
      <c r="A30" s="114"/>
      <c r="B30" s="135" t="s">
        <v>157</v>
      </c>
      <c r="C30" s="154" t="s">
        <v>48</v>
      </c>
      <c r="D30" s="154" t="s">
        <v>53</v>
      </c>
      <c r="E30" s="155">
        <v>4</v>
      </c>
      <c r="F30" s="124">
        <v>2</v>
      </c>
      <c r="G30" s="124">
        <v>3.08</v>
      </c>
      <c r="H30" s="125">
        <v>17697</v>
      </c>
      <c r="I30" s="125">
        <f t="shared" si="4"/>
        <v>54506.76</v>
      </c>
      <c r="J30" s="126">
        <v>0</v>
      </c>
      <c r="K30" s="124">
        <f t="shared" si="5"/>
        <v>0</v>
      </c>
      <c r="L30" s="126">
        <v>0.1</v>
      </c>
      <c r="M30" s="125">
        <f t="shared" si="6"/>
        <v>10901.35</v>
      </c>
      <c r="N30" s="126">
        <v>0.4</v>
      </c>
      <c r="O30" s="124">
        <f t="shared" si="8"/>
        <v>14157.6</v>
      </c>
      <c r="P30" s="127">
        <f t="shared" si="7"/>
        <v>134072.47</v>
      </c>
      <c r="Q30" s="128">
        <f t="shared" si="9"/>
        <v>1608869.6400000001</v>
      </c>
      <c r="R30" s="130"/>
      <c r="S30" s="129"/>
      <c r="T30" s="132"/>
      <c r="U30" s="129"/>
    </row>
    <row r="31" spans="1:29" x14ac:dyDescent="0.25">
      <c r="A31" s="114"/>
      <c r="B31" s="135" t="s">
        <v>157</v>
      </c>
      <c r="C31" s="154" t="s">
        <v>48</v>
      </c>
      <c r="D31" s="154" t="s">
        <v>53</v>
      </c>
      <c r="E31" s="155">
        <v>4</v>
      </c>
      <c r="F31" s="124">
        <v>3</v>
      </c>
      <c r="G31" s="124">
        <v>3.14</v>
      </c>
      <c r="H31" s="125">
        <v>17697</v>
      </c>
      <c r="I31" s="125">
        <f t="shared" ref="I31" si="15">G31*H31</f>
        <v>55568.58</v>
      </c>
      <c r="J31" s="126">
        <v>0</v>
      </c>
      <c r="K31" s="124">
        <f t="shared" ref="K31" si="16">ROUND(I31*J31,2)+(M31*J31)</f>
        <v>0</v>
      </c>
      <c r="L31" s="126">
        <v>0.1</v>
      </c>
      <c r="M31" s="125">
        <f t="shared" ref="M31" si="17">ROUND(I31*L31*F31,2)</f>
        <v>16670.57</v>
      </c>
      <c r="N31" s="126">
        <v>0.4</v>
      </c>
      <c r="O31" s="124">
        <f t="shared" ref="O31" si="18">ROUND(H31*N31*F31,2)</f>
        <v>21236.400000000001</v>
      </c>
      <c r="P31" s="127">
        <f t="shared" si="7"/>
        <v>204612.71</v>
      </c>
      <c r="Q31" s="128">
        <f t="shared" ref="Q31" si="19">P31*12</f>
        <v>2455352.52</v>
      </c>
      <c r="S31" s="129"/>
      <c r="T31" s="132"/>
      <c r="U31" s="129"/>
    </row>
    <row r="32" spans="1:29" x14ac:dyDescent="0.25">
      <c r="A32" s="114"/>
      <c r="B32" s="135" t="s">
        <v>63</v>
      </c>
      <c r="C32" s="136"/>
      <c r="D32" s="136" t="s">
        <v>37</v>
      </c>
      <c r="E32" s="134">
        <v>2</v>
      </c>
      <c r="F32" s="124">
        <v>0.5</v>
      </c>
      <c r="G32" s="124">
        <v>3.45</v>
      </c>
      <c r="H32" s="125">
        <v>17697</v>
      </c>
      <c r="I32" s="125">
        <f t="shared" si="4"/>
        <v>61054.65</v>
      </c>
      <c r="J32" s="126">
        <v>0</v>
      </c>
      <c r="K32" s="124">
        <f t="shared" si="5"/>
        <v>0</v>
      </c>
      <c r="L32" s="126">
        <v>0.1</v>
      </c>
      <c r="M32" s="125">
        <f t="shared" si="6"/>
        <v>3052.73</v>
      </c>
      <c r="N32" s="126"/>
      <c r="O32" s="124">
        <f t="shared" si="8"/>
        <v>0</v>
      </c>
      <c r="P32" s="127">
        <f t="shared" si="7"/>
        <v>33580.06</v>
      </c>
      <c r="Q32" s="128">
        <f t="shared" si="9"/>
        <v>402960.72</v>
      </c>
      <c r="S32" s="156"/>
      <c r="T32" s="132"/>
      <c r="U32" s="129"/>
    </row>
    <row r="33" spans="1:24" x14ac:dyDescent="0.25">
      <c r="A33" s="114"/>
      <c r="B33" s="135" t="s">
        <v>66</v>
      </c>
      <c r="C33" s="136" t="s">
        <v>48</v>
      </c>
      <c r="D33" s="136" t="s">
        <v>53</v>
      </c>
      <c r="E33" s="134">
        <v>4</v>
      </c>
      <c r="F33" s="124">
        <v>0.25</v>
      </c>
      <c r="G33" s="124">
        <v>3.65</v>
      </c>
      <c r="H33" s="125">
        <v>17697</v>
      </c>
      <c r="I33" s="125">
        <f t="shared" si="4"/>
        <v>64594.049999999996</v>
      </c>
      <c r="J33" s="126">
        <v>0</v>
      </c>
      <c r="K33" s="124">
        <f t="shared" si="5"/>
        <v>0</v>
      </c>
      <c r="L33" s="126">
        <v>0.1</v>
      </c>
      <c r="M33" s="125">
        <f t="shared" si="6"/>
        <v>1614.85</v>
      </c>
      <c r="N33" s="126">
        <v>0.4</v>
      </c>
      <c r="O33" s="124">
        <f t="shared" si="8"/>
        <v>1769.7</v>
      </c>
      <c r="P33" s="127">
        <f>ROUND((I33*F33)+M33+K33+O33,2)-0.01</f>
        <v>19533.050000000003</v>
      </c>
      <c r="Q33" s="128">
        <f t="shared" si="9"/>
        <v>234396.60000000003</v>
      </c>
      <c r="S33" s="129"/>
      <c r="T33" s="132"/>
      <c r="U33" s="129"/>
    </row>
    <row r="34" spans="1:24" x14ac:dyDescent="0.25">
      <c r="A34" s="114"/>
      <c r="B34" s="135" t="s">
        <v>68</v>
      </c>
      <c r="C34" s="136" t="s">
        <v>48</v>
      </c>
      <c r="D34" s="136" t="s">
        <v>53</v>
      </c>
      <c r="E34" s="134">
        <v>4</v>
      </c>
      <c r="F34" s="124">
        <v>0.25</v>
      </c>
      <c r="G34" s="124">
        <v>3.65</v>
      </c>
      <c r="H34" s="125">
        <v>17697</v>
      </c>
      <c r="I34" s="125">
        <f t="shared" si="4"/>
        <v>64594.049999999996</v>
      </c>
      <c r="J34" s="126">
        <v>0</v>
      </c>
      <c r="K34" s="124">
        <f t="shared" si="5"/>
        <v>0</v>
      </c>
      <c r="L34" s="126">
        <v>0.1</v>
      </c>
      <c r="M34" s="125">
        <f t="shared" si="6"/>
        <v>1614.85</v>
      </c>
      <c r="N34" s="126">
        <v>0.4</v>
      </c>
      <c r="O34" s="124">
        <f t="shared" si="8"/>
        <v>1769.7</v>
      </c>
      <c r="P34" s="127">
        <f t="shared" si="7"/>
        <v>19533.060000000001</v>
      </c>
      <c r="Q34" s="128">
        <f t="shared" si="9"/>
        <v>234396.72000000003</v>
      </c>
      <c r="S34" s="129"/>
      <c r="T34" s="132"/>
      <c r="U34" s="129"/>
    </row>
    <row r="35" spans="1:24" x14ac:dyDescent="0.25">
      <c r="A35" s="114"/>
      <c r="B35" s="135" t="s">
        <v>71</v>
      </c>
      <c r="C35" s="136" t="s">
        <v>48</v>
      </c>
      <c r="D35" s="136" t="s">
        <v>49</v>
      </c>
      <c r="E35" s="134">
        <v>4</v>
      </c>
      <c r="F35" s="124">
        <v>1</v>
      </c>
      <c r="G35" s="124">
        <v>3.13</v>
      </c>
      <c r="H35" s="125">
        <v>17697</v>
      </c>
      <c r="I35" s="125">
        <f t="shared" si="4"/>
        <v>55391.61</v>
      </c>
      <c r="J35" s="126">
        <v>0</v>
      </c>
      <c r="K35" s="124">
        <f t="shared" si="5"/>
        <v>0</v>
      </c>
      <c r="L35" s="126">
        <v>0.1</v>
      </c>
      <c r="M35" s="125">
        <f t="shared" si="6"/>
        <v>5539.16</v>
      </c>
      <c r="N35" s="126">
        <v>0.4</v>
      </c>
      <c r="O35" s="124">
        <f t="shared" si="8"/>
        <v>7078.8</v>
      </c>
      <c r="P35" s="127">
        <f t="shared" si="7"/>
        <v>68009.570000000007</v>
      </c>
      <c r="Q35" s="128">
        <f t="shared" si="9"/>
        <v>816114.84000000008</v>
      </c>
      <c r="R35" s="130"/>
      <c r="S35" s="129"/>
      <c r="T35" s="132"/>
      <c r="U35" s="129"/>
    </row>
    <row r="36" spans="1:24" x14ac:dyDescent="0.25">
      <c r="A36" s="114"/>
      <c r="B36" s="135" t="s">
        <v>158</v>
      </c>
      <c r="C36" s="136" t="s">
        <v>48</v>
      </c>
      <c r="D36" s="136" t="s">
        <v>49</v>
      </c>
      <c r="E36" s="134">
        <v>4</v>
      </c>
      <c r="F36" s="124">
        <v>0.5</v>
      </c>
      <c r="G36" s="124">
        <v>2.68</v>
      </c>
      <c r="H36" s="125">
        <v>17697</v>
      </c>
      <c r="I36" s="125">
        <f t="shared" si="4"/>
        <v>47427.960000000006</v>
      </c>
      <c r="J36" s="126">
        <v>0</v>
      </c>
      <c r="K36" s="124">
        <f t="shared" si="5"/>
        <v>0</v>
      </c>
      <c r="L36" s="126">
        <v>0.1</v>
      </c>
      <c r="M36" s="125">
        <f t="shared" si="6"/>
        <v>2371.4</v>
      </c>
      <c r="N36" s="126">
        <v>0.4</v>
      </c>
      <c r="O36" s="124">
        <f t="shared" si="8"/>
        <v>3539.4</v>
      </c>
      <c r="P36" s="127">
        <f t="shared" si="7"/>
        <v>29624.78</v>
      </c>
      <c r="Q36" s="128">
        <f t="shared" si="9"/>
        <v>355497.36</v>
      </c>
      <c r="R36" s="130"/>
      <c r="S36" s="129"/>
      <c r="T36" s="132"/>
      <c r="U36" s="129"/>
    </row>
    <row r="37" spans="1:24" x14ac:dyDescent="0.25">
      <c r="A37" s="114"/>
      <c r="B37" s="135" t="s">
        <v>73</v>
      </c>
      <c r="C37" s="136"/>
      <c r="D37" s="136" t="s">
        <v>37</v>
      </c>
      <c r="E37" s="134">
        <v>2</v>
      </c>
      <c r="F37" s="124">
        <v>1</v>
      </c>
      <c r="G37" s="124">
        <v>3.15</v>
      </c>
      <c r="H37" s="125">
        <v>17697</v>
      </c>
      <c r="I37" s="125">
        <f t="shared" si="4"/>
        <v>55745.549999999996</v>
      </c>
      <c r="J37" s="126">
        <v>0</v>
      </c>
      <c r="K37" s="124">
        <f t="shared" si="5"/>
        <v>0</v>
      </c>
      <c r="L37" s="126">
        <v>0.1</v>
      </c>
      <c r="M37" s="125">
        <f t="shared" si="6"/>
        <v>5574.56</v>
      </c>
      <c r="N37" s="126"/>
      <c r="O37" s="124">
        <f t="shared" si="8"/>
        <v>0</v>
      </c>
      <c r="P37" s="127">
        <f t="shared" si="7"/>
        <v>61320.11</v>
      </c>
      <c r="Q37" s="128">
        <f t="shared" si="9"/>
        <v>735841.32000000007</v>
      </c>
      <c r="R37" s="130"/>
      <c r="S37" s="129"/>
      <c r="T37" s="132"/>
      <c r="U37" s="129"/>
    </row>
    <row r="38" spans="1:24" ht="31.5" x14ac:dyDescent="0.25">
      <c r="A38" s="114"/>
      <c r="B38" s="135" t="s">
        <v>159</v>
      </c>
      <c r="C38" s="136" t="s">
        <v>48</v>
      </c>
      <c r="D38" s="136" t="s">
        <v>56</v>
      </c>
      <c r="E38" s="134">
        <v>4</v>
      </c>
      <c r="F38" s="124">
        <v>1.25</v>
      </c>
      <c r="G38" s="157" t="s">
        <v>212</v>
      </c>
      <c r="H38" s="125">
        <v>17697</v>
      </c>
      <c r="I38" s="125">
        <f t="shared" si="4"/>
        <v>59992.83</v>
      </c>
      <c r="J38" s="126">
        <v>0</v>
      </c>
      <c r="K38" s="124">
        <f t="shared" si="5"/>
        <v>0</v>
      </c>
      <c r="L38" s="126">
        <v>0.1</v>
      </c>
      <c r="M38" s="125">
        <f t="shared" si="6"/>
        <v>7499.1</v>
      </c>
      <c r="N38" s="126">
        <v>0.4</v>
      </c>
      <c r="O38" s="124">
        <f t="shared" si="8"/>
        <v>8848.5</v>
      </c>
      <c r="P38" s="127">
        <f t="shared" si="7"/>
        <v>91338.64</v>
      </c>
      <c r="Q38" s="128">
        <f t="shared" si="9"/>
        <v>1096063.68</v>
      </c>
      <c r="R38" s="130"/>
      <c r="S38" s="129"/>
      <c r="T38" s="132"/>
      <c r="U38" s="129"/>
    </row>
    <row r="39" spans="1:24" x14ac:dyDescent="0.25">
      <c r="A39" s="114"/>
      <c r="B39" s="135" t="s">
        <v>78</v>
      </c>
      <c r="C39" s="136" t="s">
        <v>48</v>
      </c>
      <c r="D39" s="136" t="s">
        <v>56</v>
      </c>
      <c r="E39" s="134">
        <v>4</v>
      </c>
      <c r="F39" s="124">
        <v>12.5</v>
      </c>
      <c r="G39" s="124">
        <v>3.17</v>
      </c>
      <c r="H39" s="125">
        <v>17697</v>
      </c>
      <c r="I39" s="125">
        <v>574444.62</v>
      </c>
      <c r="J39" s="126">
        <v>0</v>
      </c>
      <c r="K39" s="124">
        <f t="shared" si="5"/>
        <v>0</v>
      </c>
      <c r="L39" s="126">
        <v>0.1</v>
      </c>
      <c r="M39" s="125">
        <v>71805.58</v>
      </c>
      <c r="N39" s="126">
        <v>0.4</v>
      </c>
      <c r="O39" s="124">
        <f t="shared" si="8"/>
        <v>88485</v>
      </c>
      <c r="P39" s="127">
        <f>883699.7-3893.34-1460.65</f>
        <v>878345.71</v>
      </c>
      <c r="Q39" s="128">
        <f t="shared" si="9"/>
        <v>10540148.52</v>
      </c>
      <c r="R39" s="130"/>
      <c r="S39" s="129"/>
      <c r="T39" s="132"/>
      <c r="U39" s="129"/>
    </row>
    <row r="40" spans="1:24" ht="31.5" x14ac:dyDescent="0.25">
      <c r="A40" s="114"/>
      <c r="B40" s="135" t="s">
        <v>92</v>
      </c>
      <c r="C40" s="131"/>
      <c r="D40" s="131"/>
      <c r="E40" s="134" t="s">
        <v>94</v>
      </c>
      <c r="F40" s="124">
        <v>0.25</v>
      </c>
      <c r="G40" s="124">
        <v>1.84</v>
      </c>
      <c r="H40" s="125">
        <v>17697</v>
      </c>
      <c r="I40" s="125">
        <f t="shared" si="4"/>
        <v>32562.480000000003</v>
      </c>
      <c r="J40" s="126">
        <v>0</v>
      </c>
      <c r="K40" s="124">
        <f t="shared" si="5"/>
        <v>0</v>
      </c>
      <c r="L40" s="126">
        <v>0.1</v>
      </c>
      <c r="M40" s="125">
        <f t="shared" si="6"/>
        <v>814.06</v>
      </c>
      <c r="N40" s="126"/>
      <c r="O40" s="124"/>
      <c r="P40" s="127">
        <f>ROUND((I40*F40)+M40+K40+O40,2)</f>
        <v>8954.68</v>
      </c>
      <c r="Q40" s="128">
        <f t="shared" si="9"/>
        <v>107456.16</v>
      </c>
      <c r="S40" s="129"/>
      <c r="T40" s="132"/>
      <c r="U40" s="129"/>
    </row>
    <row r="41" spans="1:24" x14ac:dyDescent="0.25">
      <c r="A41" s="114"/>
      <c r="B41" s="135" t="s">
        <v>95</v>
      </c>
      <c r="C41" s="131"/>
      <c r="D41" s="131"/>
      <c r="E41" s="134" t="s">
        <v>94</v>
      </c>
      <c r="F41" s="123">
        <v>6.25</v>
      </c>
      <c r="G41" s="124">
        <v>1.704</v>
      </c>
      <c r="H41" s="125">
        <v>17697</v>
      </c>
      <c r="I41" s="125">
        <v>150778.44</v>
      </c>
      <c r="J41" s="126">
        <v>0</v>
      </c>
      <c r="K41" s="124">
        <f t="shared" si="5"/>
        <v>0</v>
      </c>
      <c r="L41" s="126">
        <v>0.1</v>
      </c>
      <c r="M41" s="125">
        <v>28270.97</v>
      </c>
      <c r="N41" s="126">
        <v>0.7</v>
      </c>
      <c r="O41" s="124">
        <f t="shared" si="8"/>
        <v>77424.38</v>
      </c>
      <c r="P41" s="127">
        <v>284744.77</v>
      </c>
      <c r="Q41" s="128">
        <f t="shared" si="9"/>
        <v>3416937.24</v>
      </c>
      <c r="R41" s="158"/>
      <c r="S41" s="129"/>
      <c r="T41" s="132"/>
      <c r="W41" s="158"/>
      <c r="X41" s="158"/>
    </row>
    <row r="42" spans="1:24" ht="32.25" thickBot="1" x14ac:dyDescent="0.3">
      <c r="A42" s="114"/>
      <c r="B42" s="135" t="s">
        <v>99</v>
      </c>
      <c r="C42" s="136" t="s">
        <v>48</v>
      </c>
      <c r="D42" s="136" t="s">
        <v>56</v>
      </c>
      <c r="E42" s="134">
        <v>1</v>
      </c>
      <c r="F42" s="123">
        <v>1.25</v>
      </c>
      <c r="G42" s="124">
        <v>4.26</v>
      </c>
      <c r="H42" s="125">
        <v>17697</v>
      </c>
      <c r="I42" s="125">
        <f>G42*H42</f>
        <v>75389.22</v>
      </c>
      <c r="J42" s="126">
        <v>0</v>
      </c>
      <c r="K42" s="124">
        <f t="shared" si="5"/>
        <v>0</v>
      </c>
      <c r="L42" s="126">
        <v>0.1</v>
      </c>
      <c r="M42" s="125">
        <f t="shared" si="6"/>
        <v>9423.65</v>
      </c>
      <c r="N42" s="126">
        <v>0.4</v>
      </c>
      <c r="O42" s="124">
        <f t="shared" si="8"/>
        <v>8848.5</v>
      </c>
      <c r="P42" s="127">
        <f>ROUND((I42*F42)+M42+K42+O42,2)</f>
        <v>112508.68</v>
      </c>
      <c r="Q42" s="128">
        <f t="shared" si="9"/>
        <v>1350104.16</v>
      </c>
      <c r="S42" s="129"/>
      <c r="T42" s="132"/>
      <c r="U42" s="129"/>
    </row>
    <row r="43" spans="1:24" s="160" customFormat="1" ht="16.5" thickBot="1" x14ac:dyDescent="0.3">
      <c r="A43" s="518" t="s">
        <v>160</v>
      </c>
      <c r="B43" s="519"/>
      <c r="C43" s="139"/>
      <c r="D43" s="139"/>
      <c r="E43" s="140"/>
      <c r="F43" s="159">
        <f>SUM(F25:F42)</f>
        <v>34.25</v>
      </c>
      <c r="G43" s="159"/>
      <c r="H43" s="159"/>
      <c r="I43" s="141">
        <f>SUM(I25:I42)+54506.76+55568.58+55568.68</f>
        <v>1813942.5999999999</v>
      </c>
      <c r="J43" s="141"/>
      <c r="K43" s="141">
        <f>SUM(K25:K42)</f>
        <v>0</v>
      </c>
      <c r="L43" s="141"/>
      <c r="M43" s="141">
        <f>SUM(M25:M42)-M42</f>
        <v>181018.19999999998</v>
      </c>
      <c r="N43" s="142"/>
      <c r="O43" s="141">
        <f>SUM(O25:O42)</f>
        <v>263242.88</v>
      </c>
      <c r="P43" s="141">
        <f>SUM(P25:P42)+0.68</f>
        <v>2254443.0200000005</v>
      </c>
      <c r="Q43" s="143">
        <f>P43*12</f>
        <v>27053316.240000006</v>
      </c>
      <c r="S43" s="145">
        <f>'[1]РАСЧЁТЫ по действующей системе'!W92</f>
        <v>1704283.07</v>
      </c>
      <c r="T43" s="146">
        <f>P43-S43</f>
        <v>550159.95000000042</v>
      </c>
      <c r="U43" s="146" t="b">
        <f>IF(P43&lt;&gt;S43,FALSE,0)</f>
        <v>0</v>
      </c>
      <c r="V43" s="161"/>
    </row>
    <row r="44" spans="1:24" ht="47.25" x14ac:dyDescent="0.25">
      <c r="A44" s="114"/>
      <c r="B44" s="162" t="s">
        <v>161</v>
      </c>
      <c r="C44" s="163"/>
      <c r="D44" s="163"/>
      <c r="E44" s="149"/>
      <c r="F44" s="164"/>
      <c r="G44" s="164"/>
      <c r="H44" s="164"/>
      <c r="I44" s="150"/>
      <c r="J44" s="150"/>
      <c r="K44" s="150"/>
      <c r="L44" s="150"/>
      <c r="M44" s="150"/>
      <c r="N44" s="150"/>
      <c r="O44" s="150"/>
      <c r="P44" s="151"/>
      <c r="Q44" s="152"/>
      <c r="S44" s="132"/>
      <c r="T44" s="132"/>
      <c r="U44" s="132"/>
    </row>
    <row r="45" spans="1:24" x14ac:dyDescent="0.25">
      <c r="A45" s="114"/>
      <c r="B45" s="165" t="s">
        <v>106</v>
      </c>
      <c r="C45" s="166"/>
      <c r="D45" s="166"/>
      <c r="E45" s="167"/>
      <c r="F45" s="123">
        <v>2</v>
      </c>
      <c r="G45" s="124">
        <v>2.1</v>
      </c>
      <c r="H45" s="125">
        <v>17697</v>
      </c>
      <c r="I45" s="125">
        <f t="shared" ref="I45:I54" si="20">G45*H45</f>
        <v>37163.700000000004</v>
      </c>
      <c r="J45" s="126">
        <v>0</v>
      </c>
      <c r="K45" s="124">
        <f t="shared" ref="K45:K54" si="21">ROUND(I45*J45,2)</f>
        <v>0</v>
      </c>
      <c r="L45" s="126">
        <v>0.1</v>
      </c>
      <c r="M45" s="125">
        <f t="shared" ref="M45:M54" si="22">ROUND(I45*L45*F45,2)</f>
        <v>7432.74</v>
      </c>
      <c r="N45" s="126">
        <v>0.6</v>
      </c>
      <c r="O45" s="124">
        <f t="shared" ref="O45:O54" si="23">ROUND(H45*N45,2)</f>
        <v>10618.2</v>
      </c>
      <c r="P45" s="127">
        <f>ROUND((I45*F45)+M45+K45+O45,2)</f>
        <v>92378.34</v>
      </c>
      <c r="Q45" s="128">
        <f>P45*12</f>
        <v>1108540.08</v>
      </c>
      <c r="S45" s="129"/>
      <c r="T45" s="132"/>
      <c r="U45" s="129"/>
    </row>
    <row r="46" spans="1:24" x14ac:dyDescent="0.25">
      <c r="A46" s="114"/>
      <c r="B46" s="165" t="s">
        <v>109</v>
      </c>
      <c r="C46" s="166"/>
      <c r="D46" s="166"/>
      <c r="E46" s="167"/>
      <c r="F46" s="123">
        <v>0.5</v>
      </c>
      <c r="G46" s="124">
        <v>1.71</v>
      </c>
      <c r="H46" s="125">
        <v>17697</v>
      </c>
      <c r="I46" s="125">
        <f t="shared" si="20"/>
        <v>30261.87</v>
      </c>
      <c r="J46" s="126">
        <v>0</v>
      </c>
      <c r="K46" s="124">
        <f t="shared" si="21"/>
        <v>0</v>
      </c>
      <c r="L46" s="126">
        <v>0.1</v>
      </c>
      <c r="M46" s="125">
        <f t="shared" si="22"/>
        <v>1513.09</v>
      </c>
      <c r="N46" s="168"/>
      <c r="O46" s="124">
        <f t="shared" si="23"/>
        <v>0</v>
      </c>
      <c r="P46" s="127">
        <f t="shared" ref="P46:P54" si="24">ROUND((I46*F46)+M46+K46+O46,2)</f>
        <v>16644.03</v>
      </c>
      <c r="Q46" s="128">
        <f t="shared" ref="Q46:Q54" si="25">P46*12</f>
        <v>199728.36</v>
      </c>
      <c r="R46" s="130"/>
      <c r="S46" s="129"/>
      <c r="T46" s="132"/>
      <c r="U46" s="129"/>
    </row>
    <row r="47" spans="1:24" x14ac:dyDescent="0.25">
      <c r="A47" s="114"/>
      <c r="B47" s="165" t="s">
        <v>111</v>
      </c>
      <c r="C47" s="166"/>
      <c r="D47" s="166"/>
      <c r="E47" s="167"/>
      <c r="F47" s="123">
        <v>0.5</v>
      </c>
      <c r="G47" s="123">
        <v>1.83</v>
      </c>
      <c r="H47" s="125">
        <v>17697</v>
      </c>
      <c r="I47" s="125">
        <f t="shared" si="20"/>
        <v>32385.510000000002</v>
      </c>
      <c r="J47" s="126">
        <v>0</v>
      </c>
      <c r="K47" s="124">
        <f t="shared" si="21"/>
        <v>0</v>
      </c>
      <c r="L47" s="126">
        <v>0.1</v>
      </c>
      <c r="M47" s="125">
        <f t="shared" si="22"/>
        <v>1619.28</v>
      </c>
      <c r="N47" s="126"/>
      <c r="O47" s="124">
        <f t="shared" si="23"/>
        <v>0</v>
      </c>
      <c r="P47" s="127">
        <f t="shared" si="24"/>
        <v>17812.04</v>
      </c>
      <c r="Q47" s="128">
        <f t="shared" si="25"/>
        <v>213744.48</v>
      </c>
      <c r="S47" s="132"/>
      <c r="T47" s="132"/>
      <c r="U47" s="129"/>
    </row>
    <row r="48" spans="1:24" ht="31.5" x14ac:dyDescent="0.25">
      <c r="A48" s="114"/>
      <c r="B48" s="169" t="s">
        <v>112</v>
      </c>
      <c r="C48" s="166"/>
      <c r="D48" s="166"/>
      <c r="E48" s="170"/>
      <c r="F48" s="123">
        <v>1</v>
      </c>
      <c r="G48" s="123">
        <v>1.71</v>
      </c>
      <c r="H48" s="125">
        <v>17697</v>
      </c>
      <c r="I48" s="125">
        <f t="shared" si="20"/>
        <v>30261.87</v>
      </c>
      <c r="J48" s="126">
        <v>0</v>
      </c>
      <c r="K48" s="124">
        <f t="shared" si="21"/>
        <v>0</v>
      </c>
      <c r="L48" s="126">
        <v>0.1</v>
      </c>
      <c r="M48" s="125">
        <f t="shared" si="22"/>
        <v>3026.19</v>
      </c>
      <c r="N48" s="126">
        <v>0.3</v>
      </c>
      <c r="O48" s="124">
        <f t="shared" si="23"/>
        <v>5309.1</v>
      </c>
      <c r="P48" s="127">
        <f t="shared" si="24"/>
        <v>38597.160000000003</v>
      </c>
      <c r="Q48" s="128">
        <f t="shared" si="25"/>
        <v>463165.92000000004</v>
      </c>
      <c r="S48" s="132"/>
      <c r="T48" s="132"/>
      <c r="U48" s="129"/>
    </row>
    <row r="49" spans="1:21" ht="31.5" x14ac:dyDescent="0.25">
      <c r="A49" s="114"/>
      <c r="B49" s="169" t="s">
        <v>113</v>
      </c>
      <c r="C49" s="166"/>
      <c r="D49" s="166"/>
      <c r="E49" s="170"/>
      <c r="F49" s="123">
        <v>1</v>
      </c>
      <c r="G49" s="123">
        <v>1.71</v>
      </c>
      <c r="H49" s="125">
        <v>17697</v>
      </c>
      <c r="I49" s="125">
        <f t="shared" si="20"/>
        <v>30261.87</v>
      </c>
      <c r="J49" s="126">
        <v>0</v>
      </c>
      <c r="K49" s="124">
        <f t="shared" si="21"/>
        <v>0</v>
      </c>
      <c r="L49" s="126">
        <v>0.1</v>
      </c>
      <c r="M49" s="125">
        <f t="shared" si="22"/>
        <v>3026.19</v>
      </c>
      <c r="N49" s="126">
        <v>0.3</v>
      </c>
      <c r="O49" s="124">
        <f t="shared" si="23"/>
        <v>5309.1</v>
      </c>
      <c r="P49" s="127">
        <f t="shared" si="24"/>
        <v>38597.160000000003</v>
      </c>
      <c r="Q49" s="128">
        <f t="shared" si="25"/>
        <v>463165.92000000004</v>
      </c>
      <c r="S49" s="132"/>
      <c r="T49" s="132"/>
      <c r="U49" s="129"/>
    </row>
    <row r="50" spans="1:21" ht="31.5" x14ac:dyDescent="0.25">
      <c r="A50" s="114"/>
      <c r="B50" s="169" t="s">
        <v>114</v>
      </c>
      <c r="C50" s="166"/>
      <c r="D50" s="166"/>
      <c r="E50" s="167"/>
      <c r="F50" s="123">
        <v>1</v>
      </c>
      <c r="G50" s="123">
        <v>1.71</v>
      </c>
      <c r="H50" s="125">
        <v>17697</v>
      </c>
      <c r="I50" s="125">
        <f t="shared" si="20"/>
        <v>30261.87</v>
      </c>
      <c r="J50" s="126">
        <v>0</v>
      </c>
      <c r="K50" s="124">
        <f t="shared" si="21"/>
        <v>0</v>
      </c>
      <c r="L50" s="126">
        <v>0.1</v>
      </c>
      <c r="M50" s="125">
        <f t="shared" si="22"/>
        <v>3026.19</v>
      </c>
      <c r="N50" s="126"/>
      <c r="O50" s="124">
        <f t="shared" si="23"/>
        <v>0</v>
      </c>
      <c r="P50" s="127">
        <f t="shared" si="24"/>
        <v>33288.06</v>
      </c>
      <c r="Q50" s="128">
        <f t="shared" si="25"/>
        <v>399456.72</v>
      </c>
      <c r="S50" s="129"/>
      <c r="T50" s="132"/>
      <c r="U50" s="129"/>
    </row>
    <row r="51" spans="1:21" x14ac:dyDescent="0.25">
      <c r="A51" s="114"/>
      <c r="B51" s="169" t="s">
        <v>115</v>
      </c>
      <c r="C51" s="131"/>
      <c r="D51" s="131"/>
      <c r="E51" s="123"/>
      <c r="F51" s="123">
        <v>1</v>
      </c>
      <c r="G51" s="123">
        <v>1.96</v>
      </c>
      <c r="H51" s="125">
        <v>17697</v>
      </c>
      <c r="I51" s="125">
        <f t="shared" si="20"/>
        <v>34686.120000000003</v>
      </c>
      <c r="J51" s="126">
        <v>0</v>
      </c>
      <c r="K51" s="124">
        <f t="shared" si="21"/>
        <v>0</v>
      </c>
      <c r="L51" s="126">
        <v>0.1</v>
      </c>
      <c r="M51" s="125">
        <f t="shared" si="22"/>
        <v>3468.61</v>
      </c>
      <c r="N51" s="126"/>
      <c r="O51" s="124">
        <f t="shared" si="23"/>
        <v>0</v>
      </c>
      <c r="P51" s="127">
        <f t="shared" si="24"/>
        <v>38154.730000000003</v>
      </c>
      <c r="Q51" s="128">
        <f t="shared" si="25"/>
        <v>457856.76</v>
      </c>
      <c r="S51" s="132"/>
      <c r="T51" s="132"/>
      <c r="U51" s="129"/>
    </row>
    <row r="52" spans="1:21" x14ac:dyDescent="0.25">
      <c r="A52" s="114"/>
      <c r="B52" s="169" t="s">
        <v>117</v>
      </c>
      <c r="C52" s="131"/>
      <c r="D52" s="131"/>
      <c r="E52" s="123"/>
      <c r="F52" s="123">
        <v>0.5</v>
      </c>
      <c r="G52" s="123">
        <v>1.96</v>
      </c>
      <c r="H52" s="125">
        <v>17697</v>
      </c>
      <c r="I52" s="125">
        <f t="shared" si="20"/>
        <v>34686.120000000003</v>
      </c>
      <c r="J52" s="126">
        <v>0</v>
      </c>
      <c r="K52" s="124">
        <f t="shared" si="21"/>
        <v>0</v>
      </c>
      <c r="L52" s="126">
        <v>0.1</v>
      </c>
      <c r="M52" s="125">
        <f t="shared" si="22"/>
        <v>1734.31</v>
      </c>
      <c r="N52" s="126"/>
      <c r="O52" s="124">
        <f t="shared" si="23"/>
        <v>0</v>
      </c>
      <c r="P52" s="127">
        <f t="shared" si="24"/>
        <v>19077.37</v>
      </c>
      <c r="Q52" s="128">
        <f t="shared" si="25"/>
        <v>228928.44</v>
      </c>
      <c r="S52" s="132"/>
      <c r="T52" s="132"/>
      <c r="U52" s="129"/>
    </row>
    <row r="53" spans="1:21" x14ac:dyDescent="0.25">
      <c r="A53" s="114"/>
      <c r="B53" s="171" t="s">
        <v>119</v>
      </c>
      <c r="C53" s="166"/>
      <c r="D53" s="166"/>
      <c r="E53" s="170"/>
      <c r="F53" s="123">
        <v>3</v>
      </c>
      <c r="G53" s="123">
        <v>1.6</v>
      </c>
      <c r="H53" s="125">
        <v>17697</v>
      </c>
      <c r="I53" s="125">
        <f t="shared" si="20"/>
        <v>28315.200000000001</v>
      </c>
      <c r="J53" s="126">
        <v>0</v>
      </c>
      <c r="K53" s="124">
        <f t="shared" si="21"/>
        <v>0</v>
      </c>
      <c r="L53" s="126">
        <v>0.1</v>
      </c>
      <c r="M53" s="125">
        <f t="shared" si="22"/>
        <v>8494.56</v>
      </c>
      <c r="N53" s="126"/>
      <c r="O53" s="124">
        <v>25898.04</v>
      </c>
      <c r="P53" s="127">
        <f t="shared" si="24"/>
        <v>119338.2</v>
      </c>
      <c r="Q53" s="128">
        <f t="shared" si="25"/>
        <v>1432058.4</v>
      </c>
      <c r="S53" s="132"/>
      <c r="T53" s="132"/>
      <c r="U53" s="129"/>
    </row>
    <row r="54" spans="1:21" ht="16.5" thickBot="1" x14ac:dyDescent="0.3">
      <c r="A54" s="114"/>
      <c r="B54" s="172" t="s">
        <v>120</v>
      </c>
      <c r="C54" s="166"/>
      <c r="D54" s="166"/>
      <c r="E54" s="167"/>
      <c r="F54" s="123">
        <v>1</v>
      </c>
      <c r="G54" s="124">
        <v>1.71</v>
      </c>
      <c r="H54" s="125">
        <v>17697</v>
      </c>
      <c r="I54" s="125">
        <f t="shared" si="20"/>
        <v>30261.87</v>
      </c>
      <c r="J54" s="126">
        <v>0</v>
      </c>
      <c r="K54" s="124">
        <f t="shared" si="21"/>
        <v>0</v>
      </c>
      <c r="L54" s="126">
        <v>0.1</v>
      </c>
      <c r="M54" s="125">
        <f t="shared" si="22"/>
        <v>3026.19</v>
      </c>
      <c r="N54" s="126"/>
      <c r="O54" s="124">
        <f t="shared" si="23"/>
        <v>0</v>
      </c>
      <c r="P54" s="127">
        <f t="shared" si="24"/>
        <v>33288.06</v>
      </c>
      <c r="Q54" s="128">
        <f t="shared" si="25"/>
        <v>399456.72</v>
      </c>
      <c r="R54" s="130"/>
      <c r="S54" s="129"/>
      <c r="T54" s="132"/>
      <c r="U54" s="129"/>
    </row>
    <row r="55" spans="1:21" s="160" customFormat="1" ht="16.5" thickBot="1" x14ac:dyDescent="0.3">
      <c r="A55" s="520" t="s">
        <v>121</v>
      </c>
      <c r="B55" s="521"/>
      <c r="C55" s="173"/>
      <c r="D55" s="173"/>
      <c r="E55" s="174"/>
      <c r="F55" s="175">
        <f>SUM(F44:F54)</f>
        <v>11.5</v>
      </c>
      <c r="G55" s="176"/>
      <c r="H55" s="175"/>
      <c r="I55" s="175"/>
      <c r="J55" s="175"/>
      <c r="K55" s="175">
        <f>SUM(K44:K54)</f>
        <v>0</v>
      </c>
      <c r="L55" s="175"/>
      <c r="M55" s="175">
        <f>SUM(M44:M54)</f>
        <v>36367.350000000006</v>
      </c>
      <c r="N55" s="177"/>
      <c r="O55" s="175">
        <f>SUM(O44:O54)</f>
        <v>47134.44</v>
      </c>
      <c r="P55" s="175">
        <f>SUM(P45:P54)</f>
        <v>447175.15</v>
      </c>
      <c r="Q55" s="178">
        <f>SUM(Q44:Q54)</f>
        <v>5366101.7999999989</v>
      </c>
      <c r="S55" s="179">
        <f>'[1]РАСЧЁТЫ по действующей системе'!W121</f>
        <v>381923.53</v>
      </c>
      <c r="T55" s="180">
        <f>P55-S55</f>
        <v>65251.619999999995</v>
      </c>
      <c r="U55" s="146" t="b">
        <f>IF(P55&lt;&gt;S55,FALSE,0)</f>
        <v>0</v>
      </c>
    </row>
    <row r="56" spans="1:21" s="160" customFormat="1" ht="16.5" thickBot="1" x14ac:dyDescent="0.3">
      <c r="A56" s="522" t="s">
        <v>162</v>
      </c>
      <c r="B56" s="523"/>
      <c r="C56" s="181"/>
      <c r="D56" s="181"/>
      <c r="E56" s="182"/>
      <c r="F56" s="183">
        <f>F23+F43+F55</f>
        <v>48.25</v>
      </c>
      <c r="G56" s="182"/>
      <c r="H56" s="182"/>
      <c r="I56" s="183"/>
      <c r="J56" s="183">
        <f>J23+J43+J55</f>
        <v>0</v>
      </c>
      <c r="K56" s="183">
        <f>K23+K43+K55</f>
        <v>0</v>
      </c>
      <c r="L56" s="183"/>
      <c r="M56" s="183">
        <f>M23+M43+M55</f>
        <v>233286.31</v>
      </c>
      <c r="N56" s="184"/>
      <c r="O56" s="183">
        <f>O23+O43+O55</f>
        <v>315686.42</v>
      </c>
      <c r="P56" s="182">
        <f>P23+P43+P55</f>
        <v>2881835.5800000005</v>
      </c>
      <c r="Q56" s="182">
        <f>Q23+Q43+Q55</f>
        <v>34582026.960000001</v>
      </c>
      <c r="R56" s="156"/>
    </row>
    <row r="57" spans="1:21" x14ac:dyDescent="0.25">
      <c r="S57" s="515" t="s">
        <v>132</v>
      </c>
      <c r="T57" s="187" t="s">
        <v>163</v>
      </c>
      <c r="U57" s="187" t="s">
        <v>164</v>
      </c>
    </row>
    <row r="58" spans="1:21" x14ac:dyDescent="0.25">
      <c r="B58" s="102" t="s">
        <v>40</v>
      </c>
      <c r="C58" s="102"/>
      <c r="D58" s="102"/>
      <c r="E58" s="188"/>
      <c r="F58" s="188"/>
      <c r="G58" s="188"/>
      <c r="H58" s="144"/>
      <c r="I58" s="524" t="s">
        <v>165</v>
      </c>
      <c r="J58" s="524"/>
      <c r="K58" s="524"/>
      <c r="L58" s="524"/>
      <c r="M58" s="524"/>
      <c r="N58" s="524"/>
      <c r="O58" s="524"/>
      <c r="P58" s="189"/>
      <c r="S58" s="515"/>
      <c r="T58" s="190">
        <f>'[1]РАСЧЁТЫ по действующей системе'!AE128</f>
        <v>48.25</v>
      </c>
      <c r="U58" s="190">
        <f>'[1]РАСЧЁТЫ по действующей системе'!AF128</f>
        <v>2216102.59</v>
      </c>
    </row>
    <row r="59" spans="1:21" x14ac:dyDescent="0.25">
      <c r="F59" s="160" t="s">
        <v>128</v>
      </c>
      <c r="I59" s="525" t="s">
        <v>129</v>
      </c>
      <c r="J59" s="525"/>
      <c r="K59" s="525"/>
      <c r="L59" s="525"/>
      <c r="M59" s="525"/>
      <c r="N59" s="525"/>
      <c r="O59" s="525"/>
      <c r="P59" s="189"/>
      <c r="S59" s="191"/>
      <c r="T59" s="192"/>
      <c r="U59" s="192"/>
    </row>
    <row r="60" spans="1:21" x14ac:dyDescent="0.25">
      <c r="N60" s="193"/>
      <c r="P60" s="189"/>
      <c r="Q60" s="130"/>
      <c r="S60" s="132"/>
      <c r="T60" s="132"/>
      <c r="U60" s="132"/>
    </row>
    <row r="61" spans="1:21" x14ac:dyDescent="0.25">
      <c r="A61" s="132"/>
      <c r="P61" s="189"/>
      <c r="S61" s="515" t="s">
        <v>132</v>
      </c>
      <c r="T61" s="187" t="s">
        <v>166</v>
      </c>
      <c r="U61" s="187" t="s">
        <v>167</v>
      </c>
    </row>
    <row r="62" spans="1:21" x14ac:dyDescent="0.25">
      <c r="A62" s="132"/>
      <c r="N62" s="193"/>
      <c r="S62" s="515"/>
      <c r="T62" s="190">
        <f>F56</f>
        <v>48.25</v>
      </c>
      <c r="U62" s="190">
        <f>P56</f>
        <v>2881835.5800000005</v>
      </c>
    </row>
    <row r="63" spans="1:21" s="195" customFormat="1" x14ac:dyDescent="0.25">
      <c r="A63" s="194"/>
      <c r="B63" s="516"/>
      <c r="C63" s="516"/>
      <c r="D63" s="516"/>
      <c r="E63" s="517"/>
      <c r="F63" s="517"/>
      <c r="G63" s="517"/>
      <c r="H63" s="517"/>
      <c r="I63" s="517"/>
      <c r="J63" s="517"/>
      <c r="K63" s="517"/>
      <c r="L63" s="517"/>
      <c r="M63" s="517"/>
      <c r="N63" s="517"/>
      <c r="O63" s="517"/>
      <c r="P63" s="517"/>
      <c r="Q63" s="517"/>
    </row>
    <row r="64" spans="1:21" x14ac:dyDescent="0.25">
      <c r="A64" s="132"/>
      <c r="S64" s="515" t="s">
        <v>134</v>
      </c>
      <c r="T64" s="187" t="s">
        <v>168</v>
      </c>
      <c r="U64" s="187" t="s">
        <v>168</v>
      </c>
    </row>
    <row r="65" spans="1:21" s="195" customFormat="1" x14ac:dyDescent="0.25">
      <c r="A65" s="194"/>
      <c r="B65" s="516"/>
      <c r="C65" s="516"/>
      <c r="D65" s="516"/>
      <c r="E65" s="517"/>
      <c r="F65" s="517"/>
      <c r="G65" s="517"/>
      <c r="H65" s="517"/>
      <c r="I65" s="517"/>
      <c r="J65" s="517"/>
      <c r="K65" s="517"/>
      <c r="L65" s="517"/>
      <c r="M65" s="517"/>
      <c r="N65" s="196"/>
      <c r="O65" s="196"/>
      <c r="P65" s="197"/>
      <c r="S65" s="515"/>
      <c r="T65" s="190">
        <f>T58-T62</f>
        <v>0</v>
      </c>
      <c r="U65" s="190">
        <f>U58-U62</f>
        <v>-665732.99000000069</v>
      </c>
    </row>
    <row r="66" spans="1:21" x14ac:dyDescent="0.25">
      <c r="A66" s="132"/>
    </row>
    <row r="67" spans="1:21" x14ac:dyDescent="0.25">
      <c r="M67" s="198"/>
    </row>
  </sheetData>
  <mergeCells count="44">
    <mergeCell ref="U17:AC17"/>
    <mergeCell ref="S61:S62"/>
    <mergeCell ref="B63:Q63"/>
    <mergeCell ref="S64:S65"/>
    <mergeCell ref="B65:M65"/>
    <mergeCell ref="A43:B43"/>
    <mergeCell ref="A55:B55"/>
    <mergeCell ref="A56:B56"/>
    <mergeCell ref="S57:S58"/>
    <mergeCell ref="I58:O58"/>
    <mergeCell ref="I59:O59"/>
    <mergeCell ref="A23:B23"/>
    <mergeCell ref="F14:F15"/>
    <mergeCell ref="G14:G15"/>
    <mergeCell ref="T16:AC16"/>
    <mergeCell ref="N14:O14"/>
    <mergeCell ref="P14:P15"/>
    <mergeCell ref="W12:AC12"/>
    <mergeCell ref="U13:V13"/>
    <mergeCell ref="W13:AC13"/>
    <mergeCell ref="A12:Q12"/>
    <mergeCell ref="Q14:Q15"/>
    <mergeCell ref="W14:AC14"/>
    <mergeCell ref="U15:AC15"/>
    <mergeCell ref="H14:H15"/>
    <mergeCell ref="I14:I15"/>
    <mergeCell ref="J14:K14"/>
    <mergeCell ref="L14:M14"/>
    <mergeCell ref="A14:A15"/>
    <mergeCell ref="B14:B15"/>
    <mergeCell ref="C14:C15"/>
    <mergeCell ref="D14:D15"/>
    <mergeCell ref="E14:E15"/>
    <mergeCell ref="F6:Q6"/>
    <mergeCell ref="G7:Q7"/>
    <mergeCell ref="B9:Q9"/>
    <mergeCell ref="A10:Q10"/>
    <mergeCell ref="A11:Q11"/>
    <mergeCell ref="G5:Q5"/>
    <mergeCell ref="G1:Q1"/>
    <mergeCell ref="B2:E2"/>
    <mergeCell ref="G2:Q2"/>
    <mergeCell ref="G3:N3"/>
    <mergeCell ref="I4:Q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P33 P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96"/>
  <sheetViews>
    <sheetView topLeftCell="A4" zoomScale="91" zoomScaleNormal="91" workbookViewId="0">
      <selection activeCell="A4" sqref="A1:XFD1048576"/>
    </sheetView>
  </sheetViews>
  <sheetFormatPr defaultRowHeight="12.75" x14ac:dyDescent="0.25"/>
  <cols>
    <col min="1" max="1" width="3.7109375" style="217" customWidth="1"/>
    <col min="2" max="2" width="19.85546875" style="217" customWidth="1"/>
    <col min="3" max="3" width="20.140625" style="216" customWidth="1"/>
    <col min="4" max="4" width="11.140625" style="217" customWidth="1"/>
    <col min="5" max="5" width="12.28515625" style="217" customWidth="1"/>
    <col min="6" max="6" width="6.28515625" style="217" customWidth="1"/>
    <col min="7" max="7" width="4.42578125" style="217" hidden="1" customWidth="1"/>
    <col min="8" max="8" width="7" style="217" customWidth="1"/>
    <col min="9" max="9" width="6" style="217" customWidth="1"/>
    <col min="10" max="10" width="6.85546875" style="217" customWidth="1"/>
    <col min="11" max="11" width="5.140625" style="217" customWidth="1"/>
    <col min="12" max="12" width="10.7109375" style="217" customWidth="1"/>
    <col min="13" max="13" width="7.7109375" style="217" customWidth="1"/>
    <col min="14" max="14" width="6.28515625" style="216" customWidth="1"/>
    <col min="15" max="15" width="6.7109375" style="217" customWidth="1"/>
    <col min="16" max="16" width="13.85546875" style="217" customWidth="1"/>
    <col min="17" max="17" width="0.85546875" style="217" hidden="1" customWidth="1"/>
    <col min="18" max="18" width="0.42578125" style="217" hidden="1" customWidth="1"/>
    <col min="19" max="19" width="8.28515625" style="217" customWidth="1"/>
    <col min="20" max="20" width="13.7109375" style="217" customWidth="1"/>
    <col min="21" max="21" width="9.42578125" style="217" customWidth="1"/>
    <col min="22" max="22" width="16.42578125" style="217" customWidth="1"/>
    <col min="23" max="23" width="14.5703125" style="217" customWidth="1"/>
    <col min="24" max="24" width="14.140625" style="217" customWidth="1"/>
    <col min="25" max="25" width="9.140625" style="217" customWidth="1"/>
    <col min="26" max="26" width="41.85546875" style="2" customWidth="1"/>
    <col min="27" max="27" width="9.28515625" style="2" bestFit="1" customWidth="1"/>
    <col min="28" max="28" width="14" style="2" customWidth="1"/>
    <col min="29" max="29" width="9.140625" style="2"/>
    <col min="30" max="30" width="41.42578125" style="2" customWidth="1"/>
    <col min="31" max="31" width="9.28515625" style="2" bestFit="1" customWidth="1"/>
    <col min="32" max="32" width="13.7109375" style="2" customWidth="1"/>
    <col min="33" max="33" width="9.140625" style="217"/>
    <col min="34" max="34" width="11.7109375" style="217" bestFit="1" customWidth="1"/>
    <col min="35" max="35" width="9.140625" style="217"/>
    <col min="36" max="41" width="9.140625" style="217" customWidth="1"/>
    <col min="42" max="42" width="11.28515625" style="217" bestFit="1" customWidth="1"/>
    <col min="43" max="16384" width="9.140625" style="217"/>
  </cols>
  <sheetData>
    <row r="1" spans="1:43" ht="9.75" customHeight="1" x14ac:dyDescent="0.25">
      <c r="U1" s="1"/>
    </row>
    <row r="2" spans="1:43" ht="16.5" customHeight="1" x14ac:dyDescent="0.25">
      <c r="A2" s="467" t="s">
        <v>0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43" ht="13.5" customHeight="1" x14ac:dyDescent="0.2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Z3" s="217"/>
      <c r="AA3" s="217"/>
      <c r="AB3" s="217"/>
      <c r="AC3" s="217"/>
      <c r="AD3" s="217"/>
      <c r="AE3" s="217"/>
      <c r="AF3" s="217"/>
    </row>
    <row r="4" spans="1:43" ht="13.5" customHeight="1" x14ac:dyDescent="0.25">
      <c r="N4" s="217"/>
    </row>
    <row r="5" spans="1:43" ht="13.5" customHeight="1" x14ac:dyDescent="0.25">
      <c r="N5" s="217"/>
      <c r="S5" s="469"/>
      <c r="T5" s="469"/>
      <c r="Z5" s="470" t="s">
        <v>2</v>
      </c>
      <c r="AA5" s="470" t="s">
        <v>3</v>
      </c>
      <c r="AB5" s="470" t="s">
        <v>4</v>
      </c>
      <c r="AC5" s="216"/>
      <c r="AD5" s="470" t="s">
        <v>2</v>
      </c>
      <c r="AE5" s="470" t="s">
        <v>3</v>
      </c>
      <c r="AF5" s="470" t="s">
        <v>4</v>
      </c>
      <c r="AG5" s="216"/>
      <c r="AH5" s="216"/>
      <c r="AI5" s="216"/>
    </row>
    <row r="6" spans="1:43" ht="13.5" customHeight="1" thickBot="1" x14ac:dyDescent="0.3">
      <c r="N6" s="217"/>
      <c r="Z6" s="471"/>
      <c r="AA6" s="471"/>
      <c r="AB6" s="471"/>
      <c r="AD6" s="471"/>
      <c r="AE6" s="471"/>
      <c r="AF6" s="471"/>
      <c r="AG6" s="216"/>
      <c r="AH6" s="216"/>
      <c r="AI6" s="216"/>
    </row>
    <row r="7" spans="1:43" s="216" customFormat="1" ht="41.25" customHeight="1" thickBot="1" x14ac:dyDescent="0.3">
      <c r="A7" s="472" t="s">
        <v>5</v>
      </c>
      <c r="B7" s="472" t="s">
        <v>6</v>
      </c>
      <c r="C7" s="472" t="s">
        <v>7</v>
      </c>
      <c r="D7" s="472" t="s">
        <v>8</v>
      </c>
      <c r="E7" s="472" t="s">
        <v>9</v>
      </c>
      <c r="F7" s="474" t="s">
        <v>10</v>
      </c>
      <c r="G7" s="474" t="s">
        <v>11</v>
      </c>
      <c r="H7" s="474" t="s">
        <v>12</v>
      </c>
      <c r="I7" s="476" t="s">
        <v>13</v>
      </c>
      <c r="J7" s="476" t="s">
        <v>14</v>
      </c>
      <c r="K7" s="476" t="s">
        <v>15</v>
      </c>
      <c r="L7" s="472" t="s">
        <v>16</v>
      </c>
      <c r="M7" s="472" t="s">
        <v>17</v>
      </c>
      <c r="N7" s="472" t="s">
        <v>10</v>
      </c>
      <c r="O7" s="472" t="s">
        <v>18</v>
      </c>
      <c r="P7" s="472" t="s">
        <v>19</v>
      </c>
      <c r="Q7" s="490" t="s">
        <v>20</v>
      </c>
      <c r="R7" s="492"/>
      <c r="S7" s="493" t="s">
        <v>21</v>
      </c>
      <c r="T7" s="494"/>
      <c r="U7" s="490" t="s">
        <v>22</v>
      </c>
      <c r="V7" s="491"/>
      <c r="W7" s="472" t="s">
        <v>23</v>
      </c>
      <c r="Z7" s="470" t="s">
        <v>2</v>
      </c>
      <c r="AA7" s="470" t="s">
        <v>3</v>
      </c>
      <c r="AB7" s="470" t="s">
        <v>4</v>
      </c>
      <c r="AC7" s="3"/>
      <c r="AD7" s="470" t="s">
        <v>2</v>
      </c>
      <c r="AE7" s="470" t="s">
        <v>3</v>
      </c>
      <c r="AF7" s="470" t="s">
        <v>4</v>
      </c>
      <c r="AG7" s="217"/>
      <c r="AH7" s="217"/>
      <c r="AI7" s="217"/>
    </row>
    <row r="8" spans="1:43" s="216" customFormat="1" ht="94.5" customHeight="1" thickBot="1" x14ac:dyDescent="0.3">
      <c r="A8" s="473"/>
      <c r="B8" s="473"/>
      <c r="C8" s="473"/>
      <c r="D8" s="473"/>
      <c r="E8" s="473"/>
      <c r="F8" s="475"/>
      <c r="G8" s="475"/>
      <c r="H8" s="475"/>
      <c r="I8" s="477"/>
      <c r="J8" s="477"/>
      <c r="K8" s="477"/>
      <c r="L8" s="473"/>
      <c r="M8" s="473"/>
      <c r="N8" s="473"/>
      <c r="O8" s="473"/>
      <c r="P8" s="473"/>
      <c r="Q8" s="41" t="s">
        <v>24</v>
      </c>
      <c r="R8" s="41" t="s">
        <v>25</v>
      </c>
      <c r="S8" s="41" t="s">
        <v>24</v>
      </c>
      <c r="T8" s="41" t="s">
        <v>25</v>
      </c>
      <c r="U8" s="41" t="s">
        <v>24</v>
      </c>
      <c r="V8" s="41" t="s">
        <v>25</v>
      </c>
      <c r="W8" s="473"/>
      <c r="Z8" s="471"/>
      <c r="AA8" s="471"/>
      <c r="AB8" s="471"/>
      <c r="AC8" s="2"/>
      <c r="AD8" s="471"/>
      <c r="AE8" s="471"/>
      <c r="AF8" s="471"/>
      <c r="AG8" s="217"/>
      <c r="AH8" s="217"/>
      <c r="AI8" s="217"/>
    </row>
    <row r="9" spans="1:43" s="6" customFormat="1" ht="15" customHeight="1" x14ac:dyDescent="0.25">
      <c r="A9" s="4">
        <v>1</v>
      </c>
      <c r="B9" s="42" t="s">
        <v>26</v>
      </c>
      <c r="C9" s="43" t="s">
        <v>27</v>
      </c>
      <c r="D9" s="4" t="s">
        <v>28</v>
      </c>
      <c r="E9" s="44" t="s">
        <v>180</v>
      </c>
      <c r="F9" s="45"/>
      <c r="G9" s="46"/>
      <c r="H9" s="34">
        <v>1</v>
      </c>
      <c r="I9" s="47" t="s">
        <v>30</v>
      </c>
      <c r="J9" s="47" t="s">
        <v>31</v>
      </c>
      <c r="K9" s="5">
        <v>3</v>
      </c>
      <c r="L9" s="48">
        <v>17697</v>
      </c>
      <c r="M9" s="48">
        <v>1</v>
      </c>
      <c r="N9" s="48"/>
      <c r="O9" s="4">
        <v>4.9400000000000004</v>
      </c>
      <c r="P9" s="48">
        <f>O9*L9</f>
        <v>87423.180000000008</v>
      </c>
      <c r="Q9" s="49">
        <f>IF(G9&gt;0,25%,0)</f>
        <v>0</v>
      </c>
      <c r="R9" s="50">
        <f t="shared" ref="R9:R14" si="0">ROUND((P9+T9)*Q9,2)</f>
        <v>0</v>
      </c>
      <c r="S9" s="51">
        <f t="shared" ref="S9:S14" si="1">IF(H9&gt;0,10%,0)</f>
        <v>0.1</v>
      </c>
      <c r="T9" s="50">
        <f t="shared" ref="T9:T14" si="2">ROUND(P9*S9*M9,2)</f>
        <v>8742.32</v>
      </c>
      <c r="U9" s="52">
        <v>0.3</v>
      </c>
      <c r="V9" s="53">
        <f t="shared" ref="V9" si="3">L9*U9*M9</f>
        <v>5309.0999999999995</v>
      </c>
      <c r="W9" s="53">
        <f t="shared" ref="W9:W49" si="4">ROUND(P9*M9+T9+R9+V9,2)</f>
        <v>101474.6</v>
      </c>
      <c r="X9" s="222">
        <f>W9/M9</f>
        <v>101474.6</v>
      </c>
      <c r="Z9" s="7"/>
      <c r="AA9" s="8"/>
      <c r="AB9" s="8"/>
      <c r="AC9" s="9"/>
      <c r="AD9" s="7" t="str">
        <f>B7:B9</f>
        <v>Юсупова А.Е.</v>
      </c>
      <c r="AE9" s="8">
        <f>M9</f>
        <v>1</v>
      </c>
      <c r="AF9" s="8">
        <f>W9</f>
        <v>101474.6</v>
      </c>
      <c r="AP9" s="10"/>
      <c r="AQ9" s="11">
        <f>P9+T9+R9+V9</f>
        <v>101474.6</v>
      </c>
    </row>
    <row r="10" spans="1:43" s="6" customFormat="1" ht="15" hidden="1" customHeight="1" x14ac:dyDescent="0.25">
      <c r="A10" s="4">
        <v>2</v>
      </c>
      <c r="B10" s="42">
        <f>'[1]РАСЧЁТЫ по действующей сист16'!B10</f>
        <v>0</v>
      </c>
      <c r="C10" s="43" t="s">
        <v>32</v>
      </c>
      <c r="D10" s="4"/>
      <c r="E10" s="44"/>
      <c r="F10" s="44"/>
      <c r="G10" s="54"/>
      <c r="H10" s="54"/>
      <c r="I10" s="47"/>
      <c r="J10" s="4"/>
      <c r="K10" s="5">
        <v>3</v>
      </c>
      <c r="L10" s="48">
        <v>17697</v>
      </c>
      <c r="M10" s="48"/>
      <c r="N10" s="48"/>
      <c r="O10" s="48"/>
      <c r="P10" s="48">
        <f>O10*L10</f>
        <v>0</v>
      </c>
      <c r="Q10" s="49">
        <f t="shared" ref="Q10:Q49" si="5">IF(G10&gt;0,25%,0)</f>
        <v>0</v>
      </c>
      <c r="R10" s="50">
        <f t="shared" si="0"/>
        <v>0</v>
      </c>
      <c r="S10" s="51">
        <f t="shared" si="1"/>
        <v>0</v>
      </c>
      <c r="T10" s="50">
        <f t="shared" si="2"/>
        <v>0</v>
      </c>
      <c r="U10" s="55"/>
      <c r="V10" s="53"/>
      <c r="W10" s="53">
        <f t="shared" si="4"/>
        <v>0</v>
      </c>
      <c r="X10" s="222" t="e">
        <f t="shared" ref="X10:X63" si="6">W10/M10</f>
        <v>#DIV/0!</v>
      </c>
      <c r="Z10" s="7"/>
      <c r="AA10" s="8"/>
      <c r="AB10" s="8"/>
      <c r="AC10" s="9"/>
      <c r="AD10" s="7">
        <f>B8:B10</f>
        <v>0</v>
      </c>
      <c r="AE10" s="8">
        <f>M10</f>
        <v>0</v>
      </c>
      <c r="AF10" s="8">
        <f>W10</f>
        <v>0</v>
      </c>
    </row>
    <row r="11" spans="1:43" s="6" customFormat="1" ht="15" hidden="1" customHeight="1" x14ac:dyDescent="0.25">
      <c r="A11" s="4">
        <v>3</v>
      </c>
      <c r="B11" s="42">
        <f>'[1]РАСЧЁТЫ по действующей сист16'!B11</f>
        <v>0</v>
      </c>
      <c r="C11" s="43" t="s">
        <v>33</v>
      </c>
      <c r="D11" s="4"/>
      <c r="E11" s="4"/>
      <c r="F11" s="4"/>
      <c r="G11" s="4"/>
      <c r="H11" s="4"/>
      <c r="I11" s="12"/>
      <c r="J11" s="12"/>
      <c r="K11" s="5">
        <v>3</v>
      </c>
      <c r="L11" s="48">
        <v>17697</v>
      </c>
      <c r="M11" s="48"/>
      <c r="N11" s="48"/>
      <c r="O11" s="4"/>
      <c r="P11" s="48">
        <f>L11*O11</f>
        <v>0</v>
      </c>
      <c r="Q11" s="49">
        <f t="shared" si="5"/>
        <v>0</v>
      </c>
      <c r="R11" s="50">
        <f t="shared" si="0"/>
        <v>0</v>
      </c>
      <c r="S11" s="51">
        <f t="shared" si="1"/>
        <v>0</v>
      </c>
      <c r="T11" s="50">
        <f t="shared" si="2"/>
        <v>0</v>
      </c>
      <c r="U11" s="55"/>
      <c r="V11" s="53"/>
      <c r="W11" s="53">
        <f t="shared" si="4"/>
        <v>0</v>
      </c>
      <c r="X11" s="222" t="e">
        <f t="shared" si="6"/>
        <v>#DIV/0!</v>
      </c>
      <c r="Z11" s="7">
        <f>B11</f>
        <v>0</v>
      </c>
      <c r="AA11" s="8">
        <f>M11</f>
        <v>0</v>
      </c>
      <c r="AB11" s="8">
        <f>W11</f>
        <v>0</v>
      </c>
      <c r="AC11" s="13"/>
      <c r="AD11" s="7"/>
      <c r="AE11" s="8"/>
      <c r="AF11" s="8"/>
    </row>
    <row r="12" spans="1:43" s="6" customFormat="1" ht="27" customHeight="1" x14ac:dyDescent="0.25">
      <c r="A12" s="4">
        <v>2</v>
      </c>
      <c r="B12" s="42" t="str">
        <f>'[1]РАСЧЁТЫ по действующей сист16'!B12</f>
        <v>Саттарова Г.С.</v>
      </c>
      <c r="C12" s="43" t="s">
        <v>34</v>
      </c>
      <c r="D12" s="4" t="s">
        <v>35</v>
      </c>
      <c r="E12" s="224" t="s">
        <v>213</v>
      </c>
      <c r="F12" s="4"/>
      <c r="G12" s="4"/>
      <c r="H12" s="4">
        <v>1</v>
      </c>
      <c r="I12" s="4"/>
      <c r="J12" s="4" t="s">
        <v>37</v>
      </c>
      <c r="K12" s="5">
        <v>3</v>
      </c>
      <c r="L12" s="48">
        <v>17697</v>
      </c>
      <c r="M12" s="48">
        <v>1</v>
      </c>
      <c r="N12" s="48"/>
      <c r="O12" s="225">
        <v>2.4</v>
      </c>
      <c r="P12" s="48">
        <f>L12*O12</f>
        <v>42472.799999999996</v>
      </c>
      <c r="Q12" s="49">
        <f t="shared" si="5"/>
        <v>0</v>
      </c>
      <c r="R12" s="50">
        <f t="shared" si="0"/>
        <v>0</v>
      </c>
      <c r="S12" s="51">
        <f t="shared" si="1"/>
        <v>0.1</v>
      </c>
      <c r="T12" s="50">
        <f t="shared" si="2"/>
        <v>4247.28</v>
      </c>
      <c r="U12" s="55"/>
      <c r="V12" s="53"/>
      <c r="W12" s="53">
        <f t="shared" si="4"/>
        <v>46720.08</v>
      </c>
      <c r="X12" s="222">
        <f t="shared" si="6"/>
        <v>46720.08</v>
      </c>
      <c r="Z12" s="7" t="str">
        <f>B12</f>
        <v>Саттарова Г.С.</v>
      </c>
      <c r="AA12" s="8">
        <f>M12</f>
        <v>1</v>
      </c>
      <c r="AB12" s="8">
        <f>W12</f>
        <v>46720.08</v>
      </c>
      <c r="AC12" s="9"/>
      <c r="AD12" s="7"/>
      <c r="AE12" s="8"/>
      <c r="AF12" s="8"/>
    </row>
    <row r="13" spans="1:43" s="6" customFormat="1" ht="15" hidden="1" customHeight="1" x14ac:dyDescent="0.25">
      <c r="A13" s="4">
        <v>5</v>
      </c>
      <c r="B13" s="42">
        <f>'[1]РАСЧЁТЫ по действующей сист16'!B13</f>
        <v>0</v>
      </c>
      <c r="C13" s="56" t="s">
        <v>38</v>
      </c>
      <c r="D13" s="4"/>
      <c r="E13" s="4"/>
      <c r="F13" s="4"/>
      <c r="G13" s="4"/>
      <c r="H13" s="4"/>
      <c r="I13" s="12"/>
      <c r="J13" s="12"/>
      <c r="K13" s="5"/>
      <c r="L13" s="48">
        <v>17697</v>
      </c>
      <c r="M13" s="48"/>
      <c r="N13" s="57"/>
      <c r="O13" s="48"/>
      <c r="P13" s="48">
        <f>L13*O13</f>
        <v>0</v>
      </c>
      <c r="Q13" s="49">
        <f t="shared" si="5"/>
        <v>0</v>
      </c>
      <c r="R13" s="50">
        <f t="shared" si="0"/>
        <v>0</v>
      </c>
      <c r="S13" s="51">
        <f t="shared" si="1"/>
        <v>0</v>
      </c>
      <c r="T13" s="50">
        <f t="shared" si="2"/>
        <v>0</v>
      </c>
      <c r="U13" s="55"/>
      <c r="V13" s="53"/>
      <c r="W13" s="53">
        <f t="shared" si="4"/>
        <v>0</v>
      </c>
      <c r="X13" s="222" t="e">
        <f t="shared" si="6"/>
        <v>#DIV/0!</v>
      </c>
      <c r="Z13" s="7">
        <f>B13</f>
        <v>0</v>
      </c>
      <c r="AA13" s="8">
        <f>M13</f>
        <v>0</v>
      </c>
      <c r="AB13" s="8">
        <f>W13</f>
        <v>0</v>
      </c>
      <c r="AC13" s="9"/>
      <c r="AD13" s="7"/>
      <c r="AE13" s="8"/>
      <c r="AF13" s="8"/>
    </row>
    <row r="14" spans="1:43" s="6" customFormat="1" ht="15" customHeight="1" thickBot="1" x14ac:dyDescent="0.3">
      <c r="A14" s="4">
        <v>3</v>
      </c>
      <c r="B14" s="42" t="s">
        <v>169</v>
      </c>
      <c r="C14" s="58" t="s">
        <v>40</v>
      </c>
      <c r="D14" s="59" t="s">
        <v>28</v>
      </c>
      <c r="E14" s="59" t="s">
        <v>181</v>
      </c>
      <c r="F14" s="59"/>
      <c r="G14" s="59"/>
      <c r="H14" s="59">
        <v>1</v>
      </c>
      <c r="I14" s="32"/>
      <c r="J14" s="32" t="s">
        <v>37</v>
      </c>
      <c r="K14" s="33">
        <v>2</v>
      </c>
      <c r="L14" s="60">
        <v>17697</v>
      </c>
      <c r="M14" s="60">
        <v>0.5</v>
      </c>
      <c r="N14" s="48"/>
      <c r="O14" s="223">
        <v>3.29</v>
      </c>
      <c r="P14" s="60">
        <f>L14*O14</f>
        <v>58223.13</v>
      </c>
      <c r="Q14" s="49">
        <f t="shared" si="5"/>
        <v>0</v>
      </c>
      <c r="R14" s="50">
        <f t="shared" si="0"/>
        <v>0</v>
      </c>
      <c r="S14" s="51">
        <f t="shared" si="1"/>
        <v>0.1</v>
      </c>
      <c r="T14" s="50">
        <f t="shared" si="2"/>
        <v>2911.16</v>
      </c>
      <c r="U14" s="61"/>
      <c r="V14" s="62"/>
      <c r="W14" s="53">
        <f t="shared" si="4"/>
        <v>32022.73</v>
      </c>
      <c r="X14" s="222">
        <f t="shared" si="6"/>
        <v>64045.46</v>
      </c>
      <c r="Z14" s="7" t="str">
        <f>B14</f>
        <v>Доирбаева Д.Е.</v>
      </c>
      <c r="AA14" s="8">
        <f>M14</f>
        <v>0.5</v>
      </c>
      <c r="AB14" s="8">
        <f>W14</f>
        <v>32022.73</v>
      </c>
      <c r="AC14" s="9"/>
      <c r="AD14" s="7"/>
      <c r="AE14" s="8"/>
      <c r="AF14" s="8"/>
    </row>
    <row r="15" spans="1:43" ht="30" customHeight="1" thickBot="1" x14ac:dyDescent="0.3">
      <c r="A15" s="481" t="s">
        <v>42</v>
      </c>
      <c r="B15" s="482"/>
      <c r="C15" s="482"/>
      <c r="D15" s="482"/>
      <c r="E15" s="213"/>
      <c r="F15" s="213"/>
      <c r="G15" s="213"/>
      <c r="H15" s="213"/>
      <c r="I15" s="213"/>
      <c r="J15" s="213"/>
      <c r="K15" s="64"/>
      <c r="L15" s="213"/>
      <c r="M15" s="65">
        <f>SUM(M9:M14)</f>
        <v>2.5</v>
      </c>
      <c r="N15" s="65"/>
      <c r="O15" s="65"/>
      <c r="P15" s="65">
        <f>SUM(P9:P14)</f>
        <v>188119.11000000002</v>
      </c>
      <c r="Q15" s="65"/>
      <c r="R15" s="66">
        <f>SUM(R9:R14)</f>
        <v>0</v>
      </c>
      <c r="S15" s="66"/>
      <c r="T15" s="66">
        <f>SUM(T9:T14)</f>
        <v>15900.759999999998</v>
      </c>
      <c r="U15" s="66">
        <f>SUM(U9:U13)</f>
        <v>0.3</v>
      </c>
      <c r="V15" s="66">
        <f>SUM(V9:V14)</f>
        <v>5309.0999999999995</v>
      </c>
      <c r="W15" s="17">
        <f>SUM(W9:W14)</f>
        <v>180217.41</v>
      </c>
      <c r="Z15" s="14" t="s">
        <v>43</v>
      </c>
      <c r="AA15" s="15">
        <f>SUM(AA9:AA14)</f>
        <v>1.5</v>
      </c>
      <c r="AB15" s="15">
        <f>SUM(AB9:AB14)</f>
        <v>78742.81</v>
      </c>
      <c r="AC15" s="3"/>
      <c r="AD15" s="14" t="s">
        <v>44</v>
      </c>
      <c r="AE15" s="15">
        <f>SUM(AE9:AE14)</f>
        <v>1</v>
      </c>
      <c r="AF15" s="15">
        <f>SUM(AF9:AF14)</f>
        <v>101474.6</v>
      </c>
      <c r="AH15" s="1"/>
    </row>
    <row r="16" spans="1:43" s="6" customFormat="1" ht="14.25" customHeight="1" x14ac:dyDescent="0.25">
      <c r="A16" s="34">
        <v>4</v>
      </c>
      <c r="B16" s="46" t="s">
        <v>45</v>
      </c>
      <c r="C16" s="67" t="s">
        <v>46</v>
      </c>
      <c r="D16" s="34" t="s">
        <v>28</v>
      </c>
      <c r="E16" s="34" t="s">
        <v>182</v>
      </c>
      <c r="F16" s="34"/>
      <c r="G16" s="34"/>
      <c r="H16" s="34">
        <v>1</v>
      </c>
      <c r="I16" s="34" t="s">
        <v>48</v>
      </c>
      <c r="J16" s="34" t="s">
        <v>53</v>
      </c>
      <c r="K16" s="35">
        <v>2</v>
      </c>
      <c r="L16" s="68">
        <v>17697</v>
      </c>
      <c r="M16" s="69">
        <v>0.75</v>
      </c>
      <c r="N16" s="68">
        <v>1</v>
      </c>
      <c r="O16" s="68">
        <v>3.96</v>
      </c>
      <c r="P16" s="68">
        <f>L16*O16</f>
        <v>70080.12</v>
      </c>
      <c r="Q16" s="49">
        <f t="shared" si="5"/>
        <v>0</v>
      </c>
      <c r="R16" s="50">
        <f>ROUND((P16+T16)*Q16,2)</f>
        <v>0</v>
      </c>
      <c r="S16" s="51">
        <f>IF(H16&gt;0,10%,0)</f>
        <v>0.1</v>
      </c>
      <c r="T16" s="50">
        <f>ROUND(P16*S16*M16,2)</f>
        <v>5256.01</v>
      </c>
      <c r="U16" s="52">
        <v>0.4</v>
      </c>
      <c r="V16" s="53">
        <f t="shared" ref="V16:V49" si="7">L16*U16*M16</f>
        <v>5309.1</v>
      </c>
      <c r="W16" s="53">
        <f t="shared" si="4"/>
        <v>63125.2</v>
      </c>
      <c r="X16" s="222">
        <f t="shared" si="6"/>
        <v>84166.933333333334</v>
      </c>
      <c r="Z16" s="7"/>
      <c r="AA16" s="8"/>
      <c r="AB16" s="8"/>
      <c r="AC16" s="13"/>
      <c r="AD16" s="7" t="str">
        <f>B16</f>
        <v>Утебаева А. К.</v>
      </c>
      <c r="AE16" s="16">
        <f>M16</f>
        <v>0.75</v>
      </c>
      <c r="AF16" s="8">
        <f>W16</f>
        <v>63125.2</v>
      </c>
    </row>
    <row r="17" spans="1:32" s="6" customFormat="1" ht="15" x14ac:dyDescent="0.25">
      <c r="A17" s="34">
        <v>5</v>
      </c>
      <c r="B17" s="46" t="s">
        <v>50</v>
      </c>
      <c r="C17" s="56" t="s">
        <v>51</v>
      </c>
      <c r="D17" s="34" t="s">
        <v>28</v>
      </c>
      <c r="E17" s="34" t="s">
        <v>183</v>
      </c>
      <c r="F17" s="34"/>
      <c r="G17" s="34"/>
      <c r="H17" s="34">
        <v>1</v>
      </c>
      <c r="I17" s="34" t="s">
        <v>48</v>
      </c>
      <c r="J17" s="34" t="s">
        <v>53</v>
      </c>
      <c r="K17" s="35">
        <v>4</v>
      </c>
      <c r="L17" s="68">
        <v>17697</v>
      </c>
      <c r="M17" s="69">
        <v>1</v>
      </c>
      <c r="N17" s="68"/>
      <c r="O17" s="68">
        <v>3.2</v>
      </c>
      <c r="P17" s="68">
        <f t="shared" ref="P17:P49" si="8">L17*O17</f>
        <v>56630.400000000001</v>
      </c>
      <c r="Q17" s="49">
        <f t="shared" si="5"/>
        <v>0</v>
      </c>
      <c r="R17" s="50">
        <f t="shared" ref="R17:R49" si="9">ROUND((P17+T17)*Q17,2)</f>
        <v>0</v>
      </c>
      <c r="S17" s="51">
        <f t="shared" ref="S17:S49" si="10">IF(H17&gt;0,10%,0)</f>
        <v>0.1</v>
      </c>
      <c r="T17" s="50">
        <f t="shared" ref="T17:T49" si="11">ROUND(P17*S17*M17,2)</f>
        <v>5663.04</v>
      </c>
      <c r="U17" s="52">
        <v>0.4</v>
      </c>
      <c r="V17" s="53">
        <f t="shared" si="7"/>
        <v>7078.8</v>
      </c>
      <c r="W17" s="50">
        <f t="shared" si="4"/>
        <v>69372.240000000005</v>
      </c>
      <c r="X17" s="222">
        <f t="shared" si="6"/>
        <v>69372.240000000005</v>
      </c>
      <c r="Z17" s="7"/>
      <c r="AA17" s="8"/>
      <c r="AB17" s="8"/>
      <c r="AC17" s="13"/>
      <c r="AD17" s="7"/>
      <c r="AE17" s="16"/>
      <c r="AF17" s="8"/>
    </row>
    <row r="18" spans="1:32" s="6" customFormat="1" ht="15" x14ac:dyDescent="0.25">
      <c r="A18" s="34">
        <v>6</v>
      </c>
      <c r="B18" s="46" t="str">
        <f>'[1]РАСЧЁТЫ по действующей сист16'!B19</f>
        <v>Зикен Н.</v>
      </c>
      <c r="C18" s="56" t="s">
        <v>54</v>
      </c>
      <c r="D18" s="34" t="s">
        <v>28</v>
      </c>
      <c r="E18" s="34" t="s">
        <v>41</v>
      </c>
      <c r="F18" s="34"/>
      <c r="G18" s="34"/>
      <c r="H18" s="34">
        <v>1</v>
      </c>
      <c r="I18" s="34" t="s">
        <v>48</v>
      </c>
      <c r="J18" s="34" t="s">
        <v>53</v>
      </c>
      <c r="K18" s="35">
        <v>4</v>
      </c>
      <c r="L18" s="68">
        <v>17697</v>
      </c>
      <c r="M18" s="69">
        <v>1</v>
      </c>
      <c r="N18" s="68"/>
      <c r="O18" s="68">
        <v>3.08</v>
      </c>
      <c r="P18" s="68">
        <f t="shared" si="8"/>
        <v>54506.76</v>
      </c>
      <c r="Q18" s="49">
        <f t="shared" si="5"/>
        <v>0</v>
      </c>
      <c r="R18" s="50">
        <f t="shared" si="9"/>
        <v>0</v>
      </c>
      <c r="S18" s="51">
        <f t="shared" si="10"/>
        <v>0.1</v>
      </c>
      <c r="T18" s="50">
        <f t="shared" si="11"/>
        <v>5450.68</v>
      </c>
      <c r="U18" s="52">
        <v>0.4</v>
      </c>
      <c r="V18" s="53">
        <f t="shared" si="7"/>
        <v>7078.8</v>
      </c>
      <c r="W18" s="50">
        <f t="shared" si="4"/>
        <v>67036.240000000005</v>
      </c>
      <c r="X18" s="222">
        <f t="shared" si="6"/>
        <v>67036.240000000005</v>
      </c>
      <c r="Z18" s="7"/>
      <c r="AA18" s="8"/>
      <c r="AB18" s="8"/>
      <c r="AC18" s="13"/>
      <c r="AD18" s="7" t="str">
        <f t="shared" ref="AD18:AD26" si="12">B18</f>
        <v>Зикен Н.</v>
      </c>
      <c r="AE18" s="16">
        <f t="shared" ref="AE18:AE26" si="13">M18</f>
        <v>1</v>
      </c>
      <c r="AF18" s="8">
        <f t="shared" ref="AF18:AF26" si="14">W18</f>
        <v>67036.240000000005</v>
      </c>
    </row>
    <row r="19" spans="1:32" s="6" customFormat="1" ht="15" x14ac:dyDescent="0.25">
      <c r="A19" s="34">
        <v>7</v>
      </c>
      <c r="B19" s="46" t="str">
        <f>'[1]РАСЧЁТЫ по действующей сист16'!B21</f>
        <v>Коломыцева А.Ю.</v>
      </c>
      <c r="C19" s="56" t="s">
        <v>54</v>
      </c>
      <c r="D19" s="34" t="s">
        <v>28</v>
      </c>
      <c r="E19" s="34">
        <v>1</v>
      </c>
      <c r="F19" s="34"/>
      <c r="G19" s="34"/>
      <c r="H19" s="34">
        <v>1</v>
      </c>
      <c r="I19" s="34" t="s">
        <v>48</v>
      </c>
      <c r="J19" s="34" t="s">
        <v>53</v>
      </c>
      <c r="K19" s="35">
        <v>4</v>
      </c>
      <c r="L19" s="68">
        <v>17697</v>
      </c>
      <c r="M19" s="69">
        <v>1</v>
      </c>
      <c r="N19" s="68"/>
      <c r="O19" s="68">
        <v>3.14</v>
      </c>
      <c r="P19" s="68">
        <f t="shared" si="8"/>
        <v>55568.58</v>
      </c>
      <c r="Q19" s="49">
        <f t="shared" si="5"/>
        <v>0</v>
      </c>
      <c r="R19" s="50">
        <f t="shared" si="9"/>
        <v>0</v>
      </c>
      <c r="S19" s="51">
        <f t="shared" si="10"/>
        <v>0.1</v>
      </c>
      <c r="T19" s="50">
        <f t="shared" si="11"/>
        <v>5556.86</v>
      </c>
      <c r="U19" s="52">
        <v>0.4</v>
      </c>
      <c r="V19" s="53">
        <f t="shared" si="7"/>
        <v>7078.8</v>
      </c>
      <c r="W19" s="50">
        <f t="shared" si="4"/>
        <v>68204.240000000005</v>
      </c>
      <c r="X19" s="222">
        <f t="shared" si="6"/>
        <v>68204.240000000005</v>
      </c>
      <c r="Z19" s="7"/>
      <c r="AA19" s="8"/>
      <c r="AB19" s="8"/>
      <c r="AC19" s="13"/>
      <c r="AD19" s="7" t="str">
        <f t="shared" si="12"/>
        <v>Коломыцева А.Ю.</v>
      </c>
      <c r="AE19" s="16">
        <f t="shared" si="13"/>
        <v>1</v>
      </c>
      <c r="AF19" s="8">
        <f t="shared" si="14"/>
        <v>68204.240000000005</v>
      </c>
    </row>
    <row r="20" spans="1:32" s="6" customFormat="1" ht="15" x14ac:dyDescent="0.25">
      <c r="A20" s="34">
        <v>8</v>
      </c>
      <c r="B20" s="46" t="str">
        <f>'[1]РАСЧЁТЫ по действующей сист16'!B22</f>
        <v>Тулепберген Ф.</v>
      </c>
      <c r="C20" s="56" t="s">
        <v>54</v>
      </c>
      <c r="D20" s="34" t="s">
        <v>28</v>
      </c>
      <c r="E20" s="34">
        <v>1</v>
      </c>
      <c r="F20" s="34"/>
      <c r="G20" s="34"/>
      <c r="H20" s="34">
        <v>1</v>
      </c>
      <c r="I20" s="34" t="s">
        <v>48</v>
      </c>
      <c r="J20" s="34" t="s">
        <v>53</v>
      </c>
      <c r="K20" s="35">
        <v>4</v>
      </c>
      <c r="L20" s="68">
        <v>17697</v>
      </c>
      <c r="M20" s="69">
        <v>1</v>
      </c>
      <c r="N20" s="68"/>
      <c r="O20" s="68">
        <v>3.14</v>
      </c>
      <c r="P20" s="68">
        <f t="shared" si="8"/>
        <v>55568.58</v>
      </c>
      <c r="Q20" s="49">
        <f t="shared" si="5"/>
        <v>0</v>
      </c>
      <c r="R20" s="50">
        <f t="shared" si="9"/>
        <v>0</v>
      </c>
      <c r="S20" s="51">
        <f t="shared" si="10"/>
        <v>0.1</v>
      </c>
      <c r="T20" s="50">
        <f t="shared" si="11"/>
        <v>5556.86</v>
      </c>
      <c r="U20" s="52">
        <v>0.4</v>
      </c>
      <c r="V20" s="53">
        <f t="shared" si="7"/>
        <v>7078.8</v>
      </c>
      <c r="W20" s="50">
        <f t="shared" si="4"/>
        <v>68204.240000000005</v>
      </c>
      <c r="X20" s="222">
        <f t="shared" si="6"/>
        <v>68204.240000000005</v>
      </c>
      <c r="Z20" s="7"/>
      <c r="AA20" s="8"/>
      <c r="AB20" s="8"/>
      <c r="AC20" s="13"/>
      <c r="AD20" s="7" t="str">
        <f t="shared" si="12"/>
        <v>Тулепберген Ф.</v>
      </c>
      <c r="AE20" s="16">
        <f t="shared" si="13"/>
        <v>1</v>
      </c>
      <c r="AF20" s="8">
        <f t="shared" si="14"/>
        <v>68204.240000000005</v>
      </c>
    </row>
    <row r="21" spans="1:32" s="6" customFormat="1" ht="15" x14ac:dyDescent="0.25">
      <c r="A21" s="34">
        <v>9</v>
      </c>
      <c r="B21" s="46" t="str">
        <f>'[1]РАСЧЁТЫ по действующей сист16'!B23</f>
        <v>Абильдинова С.С.</v>
      </c>
      <c r="C21" s="56" t="s">
        <v>54</v>
      </c>
      <c r="D21" s="34" t="s">
        <v>28</v>
      </c>
      <c r="E21" s="34">
        <v>1</v>
      </c>
      <c r="F21" s="34"/>
      <c r="G21" s="34"/>
      <c r="H21" s="34">
        <v>1</v>
      </c>
      <c r="I21" s="34" t="s">
        <v>48</v>
      </c>
      <c r="J21" s="34" t="s">
        <v>53</v>
      </c>
      <c r="K21" s="35">
        <v>4</v>
      </c>
      <c r="L21" s="68">
        <v>17697</v>
      </c>
      <c r="M21" s="69">
        <v>1</v>
      </c>
      <c r="N21" s="68"/>
      <c r="O21" s="68">
        <v>3.14</v>
      </c>
      <c r="P21" s="68">
        <f t="shared" si="8"/>
        <v>55568.58</v>
      </c>
      <c r="Q21" s="49">
        <f t="shared" si="5"/>
        <v>0</v>
      </c>
      <c r="R21" s="50">
        <f t="shared" si="9"/>
        <v>0</v>
      </c>
      <c r="S21" s="51">
        <f t="shared" si="10"/>
        <v>0.1</v>
      </c>
      <c r="T21" s="50">
        <f t="shared" si="11"/>
        <v>5556.86</v>
      </c>
      <c r="U21" s="52">
        <v>0.4</v>
      </c>
      <c r="V21" s="53">
        <f t="shared" si="7"/>
        <v>7078.8</v>
      </c>
      <c r="W21" s="53">
        <f t="shared" si="4"/>
        <v>68204.240000000005</v>
      </c>
      <c r="X21" s="222">
        <f t="shared" si="6"/>
        <v>68204.240000000005</v>
      </c>
      <c r="Z21" s="7"/>
      <c r="AA21" s="8"/>
      <c r="AB21" s="8"/>
      <c r="AC21" s="13"/>
      <c r="AD21" s="7" t="str">
        <f t="shared" si="12"/>
        <v>Абильдинова С.С.</v>
      </c>
      <c r="AE21" s="16">
        <f t="shared" si="13"/>
        <v>1</v>
      </c>
      <c r="AF21" s="8">
        <f t="shared" si="14"/>
        <v>68204.240000000005</v>
      </c>
    </row>
    <row r="22" spans="1:32" s="6" customFormat="1" ht="15" x14ac:dyDescent="0.25">
      <c r="A22" s="34">
        <v>10</v>
      </c>
      <c r="B22" s="46" t="s">
        <v>55</v>
      </c>
      <c r="C22" s="56" t="s">
        <v>54</v>
      </c>
      <c r="D22" s="34" t="s">
        <v>28</v>
      </c>
      <c r="E22" s="4" t="s">
        <v>41</v>
      </c>
      <c r="F22" s="4"/>
      <c r="G22" s="4"/>
      <c r="H22" s="34">
        <v>1</v>
      </c>
      <c r="I22" s="34" t="s">
        <v>48</v>
      </c>
      <c r="J22" s="34" t="s">
        <v>53</v>
      </c>
      <c r="K22" s="35">
        <v>4</v>
      </c>
      <c r="L22" s="68">
        <v>17697</v>
      </c>
      <c r="M22" s="69">
        <v>1</v>
      </c>
      <c r="N22" s="68"/>
      <c r="O22" s="68">
        <v>3.08</v>
      </c>
      <c r="P22" s="68">
        <f t="shared" si="8"/>
        <v>54506.76</v>
      </c>
      <c r="Q22" s="49">
        <f t="shared" si="5"/>
        <v>0</v>
      </c>
      <c r="R22" s="50">
        <f t="shared" si="9"/>
        <v>0</v>
      </c>
      <c r="S22" s="51">
        <f t="shared" si="10"/>
        <v>0.1</v>
      </c>
      <c r="T22" s="50">
        <f t="shared" si="11"/>
        <v>5450.68</v>
      </c>
      <c r="U22" s="52">
        <v>0.4</v>
      </c>
      <c r="V22" s="53">
        <f t="shared" si="7"/>
        <v>7078.8</v>
      </c>
      <c r="W22" s="53">
        <f t="shared" si="4"/>
        <v>67036.240000000005</v>
      </c>
      <c r="X22" s="222">
        <f t="shared" si="6"/>
        <v>67036.240000000005</v>
      </c>
      <c r="Z22" s="7"/>
      <c r="AA22" s="8"/>
      <c r="AB22" s="8"/>
      <c r="AC22" s="9"/>
      <c r="AD22" s="7" t="str">
        <f t="shared" si="12"/>
        <v>Маульянова М. Ж.</v>
      </c>
      <c r="AE22" s="16">
        <f t="shared" si="13"/>
        <v>1</v>
      </c>
      <c r="AF22" s="8">
        <f t="shared" si="14"/>
        <v>67036.240000000005</v>
      </c>
    </row>
    <row r="23" spans="1:32" s="6" customFormat="1" ht="15" x14ac:dyDescent="0.25">
      <c r="A23" s="34">
        <v>11</v>
      </c>
      <c r="B23" s="46" t="s">
        <v>57</v>
      </c>
      <c r="C23" s="56" t="s">
        <v>58</v>
      </c>
      <c r="D23" s="4" t="s">
        <v>28</v>
      </c>
      <c r="E23" s="34" t="s">
        <v>184</v>
      </c>
      <c r="F23" s="4"/>
      <c r="G23" s="4"/>
      <c r="H23" s="4">
        <v>1</v>
      </c>
      <c r="I23" s="34" t="s">
        <v>48</v>
      </c>
      <c r="J23" s="4" t="s">
        <v>56</v>
      </c>
      <c r="K23" s="5">
        <v>4</v>
      </c>
      <c r="L23" s="48">
        <v>17697</v>
      </c>
      <c r="M23" s="70">
        <v>0.5</v>
      </c>
      <c r="N23" s="48"/>
      <c r="O23" s="4">
        <v>2.92</v>
      </c>
      <c r="P23" s="68">
        <f t="shared" si="8"/>
        <v>51675.24</v>
      </c>
      <c r="Q23" s="49">
        <f t="shared" si="5"/>
        <v>0</v>
      </c>
      <c r="R23" s="50">
        <f t="shared" si="9"/>
        <v>0</v>
      </c>
      <c r="S23" s="51">
        <f t="shared" si="10"/>
        <v>0.1</v>
      </c>
      <c r="T23" s="50">
        <f t="shared" si="11"/>
        <v>2583.7600000000002</v>
      </c>
      <c r="U23" s="52">
        <v>0.4</v>
      </c>
      <c r="V23" s="53">
        <f t="shared" si="7"/>
        <v>3539.4</v>
      </c>
      <c r="W23" s="53">
        <f t="shared" si="4"/>
        <v>31960.78</v>
      </c>
      <c r="X23" s="222">
        <f t="shared" si="6"/>
        <v>63921.56</v>
      </c>
      <c r="Z23" s="7"/>
      <c r="AA23" s="8"/>
      <c r="AB23" s="8"/>
      <c r="AC23" s="9"/>
      <c r="AD23" s="7" t="str">
        <f t="shared" si="12"/>
        <v>Жуманова М.С.</v>
      </c>
      <c r="AE23" s="16">
        <f t="shared" si="13"/>
        <v>0.5</v>
      </c>
      <c r="AF23" s="8">
        <f t="shared" si="14"/>
        <v>31960.78</v>
      </c>
    </row>
    <row r="24" spans="1:32" s="6" customFormat="1" ht="30" x14ac:dyDescent="0.25">
      <c r="A24" s="34">
        <v>12</v>
      </c>
      <c r="B24" s="46" t="s">
        <v>206</v>
      </c>
      <c r="C24" s="56" t="s">
        <v>60</v>
      </c>
      <c r="D24" s="4" t="s">
        <v>28</v>
      </c>
      <c r="E24" s="4" t="s">
        <v>41</v>
      </c>
      <c r="F24" s="4"/>
      <c r="G24" s="4"/>
      <c r="H24" s="4">
        <v>1</v>
      </c>
      <c r="I24" s="34" t="s">
        <v>48</v>
      </c>
      <c r="J24" s="4" t="s">
        <v>53</v>
      </c>
      <c r="K24" s="5">
        <v>4</v>
      </c>
      <c r="L24" s="48">
        <v>17697</v>
      </c>
      <c r="M24" s="70">
        <v>1</v>
      </c>
      <c r="N24" s="48"/>
      <c r="O24" s="4">
        <v>3.08</v>
      </c>
      <c r="P24" s="68">
        <f t="shared" si="8"/>
        <v>54506.76</v>
      </c>
      <c r="Q24" s="49">
        <f t="shared" si="5"/>
        <v>0</v>
      </c>
      <c r="R24" s="50">
        <f t="shared" si="9"/>
        <v>0</v>
      </c>
      <c r="S24" s="51">
        <f t="shared" si="10"/>
        <v>0.1</v>
      </c>
      <c r="T24" s="50">
        <f t="shared" si="11"/>
        <v>5450.68</v>
      </c>
      <c r="U24" s="52">
        <v>0.4</v>
      </c>
      <c r="V24" s="53">
        <f t="shared" si="7"/>
        <v>7078.8</v>
      </c>
      <c r="W24" s="53">
        <f t="shared" si="4"/>
        <v>67036.240000000005</v>
      </c>
      <c r="X24" s="222">
        <f t="shared" si="6"/>
        <v>67036.240000000005</v>
      </c>
      <c r="Z24" s="7"/>
      <c r="AA24" s="8"/>
      <c r="AB24" s="8"/>
      <c r="AC24" s="9"/>
      <c r="AD24" s="7" t="str">
        <f t="shared" si="12"/>
        <v>Мунсызова А. Е. Тохтаралыева А.Е.</v>
      </c>
      <c r="AE24" s="16">
        <f t="shared" si="13"/>
        <v>1</v>
      </c>
      <c r="AF24" s="8">
        <f t="shared" si="14"/>
        <v>67036.240000000005</v>
      </c>
    </row>
    <row r="25" spans="1:32" s="6" customFormat="1" ht="15" x14ac:dyDescent="0.25">
      <c r="A25" s="34">
        <v>13</v>
      </c>
      <c r="B25" s="46" t="s">
        <v>61</v>
      </c>
      <c r="C25" s="56" t="s">
        <v>60</v>
      </c>
      <c r="D25" s="4" t="s">
        <v>28</v>
      </c>
      <c r="E25" s="4">
        <v>17</v>
      </c>
      <c r="F25" s="4"/>
      <c r="G25" s="4"/>
      <c r="H25" s="4">
        <v>1</v>
      </c>
      <c r="I25" s="34" t="s">
        <v>48</v>
      </c>
      <c r="J25" s="4" t="s">
        <v>53</v>
      </c>
      <c r="K25" s="5">
        <v>4</v>
      </c>
      <c r="L25" s="48">
        <v>17697</v>
      </c>
      <c r="M25" s="70">
        <v>1</v>
      </c>
      <c r="N25" s="48"/>
      <c r="O25" s="4">
        <v>3.58</v>
      </c>
      <c r="P25" s="68">
        <f t="shared" si="8"/>
        <v>63355.26</v>
      </c>
      <c r="Q25" s="49">
        <f t="shared" si="5"/>
        <v>0</v>
      </c>
      <c r="R25" s="50">
        <f t="shared" si="9"/>
        <v>0</v>
      </c>
      <c r="S25" s="51">
        <f t="shared" si="10"/>
        <v>0.1</v>
      </c>
      <c r="T25" s="50">
        <f t="shared" si="11"/>
        <v>6335.53</v>
      </c>
      <c r="U25" s="52">
        <v>0.4</v>
      </c>
      <c r="V25" s="53">
        <f t="shared" si="7"/>
        <v>7078.8</v>
      </c>
      <c r="W25" s="53">
        <f t="shared" si="4"/>
        <v>76769.59</v>
      </c>
      <c r="X25" s="222">
        <f t="shared" si="6"/>
        <v>76769.59</v>
      </c>
      <c r="Z25" s="7"/>
      <c r="AA25" s="8"/>
      <c r="AB25" s="8"/>
      <c r="AC25" s="9"/>
      <c r="AD25" s="7" t="str">
        <f t="shared" si="12"/>
        <v>Искакова С.К.</v>
      </c>
      <c r="AE25" s="16">
        <f t="shared" si="13"/>
        <v>1</v>
      </c>
      <c r="AF25" s="8">
        <f t="shared" si="14"/>
        <v>76769.59</v>
      </c>
    </row>
    <row r="26" spans="1:32" s="6" customFormat="1" ht="15" x14ac:dyDescent="0.25">
      <c r="A26" s="34">
        <v>14</v>
      </c>
      <c r="B26" s="42" t="s">
        <v>62</v>
      </c>
      <c r="C26" s="56" t="s">
        <v>63</v>
      </c>
      <c r="D26" s="4" t="s">
        <v>28</v>
      </c>
      <c r="E26" s="34" t="s">
        <v>186</v>
      </c>
      <c r="F26" s="71"/>
      <c r="G26" s="71"/>
      <c r="H26" s="71" t="s">
        <v>65</v>
      </c>
      <c r="I26" s="12"/>
      <c r="J26" s="12" t="s">
        <v>37</v>
      </c>
      <c r="K26" s="5">
        <v>2</v>
      </c>
      <c r="L26" s="48">
        <v>17697</v>
      </c>
      <c r="M26" s="70">
        <v>0.5</v>
      </c>
      <c r="N26" s="48"/>
      <c r="O26" s="48">
        <v>3.45</v>
      </c>
      <c r="P26" s="48">
        <f t="shared" si="8"/>
        <v>61054.65</v>
      </c>
      <c r="Q26" s="49">
        <f t="shared" si="5"/>
        <v>0</v>
      </c>
      <c r="R26" s="50">
        <f t="shared" si="9"/>
        <v>0</v>
      </c>
      <c r="S26" s="51">
        <f t="shared" si="10"/>
        <v>0.1</v>
      </c>
      <c r="T26" s="50">
        <f t="shared" si="11"/>
        <v>3052.73</v>
      </c>
      <c r="U26" s="52"/>
      <c r="V26" s="53">
        <f t="shared" si="7"/>
        <v>0</v>
      </c>
      <c r="W26" s="53">
        <f t="shared" si="4"/>
        <v>33580.06</v>
      </c>
      <c r="X26" s="222">
        <f t="shared" si="6"/>
        <v>67160.12</v>
      </c>
      <c r="Z26" s="7"/>
      <c r="AA26" s="8"/>
      <c r="AB26" s="8"/>
      <c r="AC26" s="9"/>
      <c r="AD26" s="7" t="str">
        <f t="shared" si="12"/>
        <v>Мухаметжанова Д.С.</v>
      </c>
      <c r="AE26" s="16">
        <f t="shared" si="13"/>
        <v>0.5</v>
      </c>
      <c r="AF26" s="8">
        <f t="shared" si="14"/>
        <v>33580.06</v>
      </c>
    </row>
    <row r="27" spans="1:32" s="6" customFormat="1" ht="15" x14ac:dyDescent="0.25">
      <c r="A27" s="34">
        <v>15</v>
      </c>
      <c r="B27" s="46" t="str">
        <f>'[1]РАСЧЁТЫ по действующей сист16'!B31</f>
        <v>Жанарбаева А.Е.</v>
      </c>
      <c r="C27" s="56" t="s">
        <v>66</v>
      </c>
      <c r="D27" s="4" t="s">
        <v>28</v>
      </c>
      <c r="E27" s="34" t="s">
        <v>185</v>
      </c>
      <c r="F27" s="71"/>
      <c r="G27" s="71"/>
      <c r="H27" s="71" t="s">
        <v>65</v>
      </c>
      <c r="I27" s="12" t="s">
        <v>48</v>
      </c>
      <c r="J27" s="12" t="s">
        <v>53</v>
      </c>
      <c r="K27" s="5">
        <v>4</v>
      </c>
      <c r="L27" s="48">
        <v>17697</v>
      </c>
      <c r="M27" s="70">
        <v>0.25</v>
      </c>
      <c r="N27" s="48"/>
      <c r="O27" s="48">
        <v>3.65</v>
      </c>
      <c r="P27" s="48">
        <f t="shared" si="8"/>
        <v>64594.049999999996</v>
      </c>
      <c r="Q27" s="49">
        <f t="shared" si="5"/>
        <v>0</v>
      </c>
      <c r="R27" s="50">
        <f t="shared" si="9"/>
        <v>0</v>
      </c>
      <c r="S27" s="51">
        <f t="shared" si="10"/>
        <v>0.1</v>
      </c>
      <c r="T27" s="50">
        <f t="shared" si="11"/>
        <v>1614.85</v>
      </c>
      <c r="U27" s="52">
        <v>0.4</v>
      </c>
      <c r="V27" s="53">
        <f t="shared" si="7"/>
        <v>1769.7</v>
      </c>
      <c r="W27" s="53">
        <f t="shared" si="4"/>
        <v>19533.060000000001</v>
      </c>
      <c r="X27" s="222">
        <f t="shared" si="6"/>
        <v>78132.240000000005</v>
      </c>
      <c r="Z27" s="7" t="str">
        <f t="shared" ref="Z27:Z30" si="15">B27</f>
        <v>Жанарбаева А.Е.</v>
      </c>
      <c r="AA27" s="8">
        <f t="shared" ref="AA27:AA33" si="16">M27</f>
        <v>0.25</v>
      </c>
      <c r="AB27" s="8">
        <f>W27</f>
        <v>19533.060000000001</v>
      </c>
      <c r="AC27" s="9"/>
      <c r="AD27" s="7"/>
      <c r="AE27" s="16"/>
      <c r="AF27" s="8"/>
    </row>
    <row r="28" spans="1:32" s="6" customFormat="1" ht="15" x14ac:dyDescent="0.25">
      <c r="A28" s="34">
        <v>16</v>
      </c>
      <c r="B28" s="46" t="str">
        <f>'[1]РАСЧЁТЫ по действующей сист16'!B32</f>
        <v>Арынова  П.Т.</v>
      </c>
      <c r="C28" s="56" t="s">
        <v>68</v>
      </c>
      <c r="D28" s="4" t="s">
        <v>28</v>
      </c>
      <c r="E28" s="4" t="s">
        <v>187</v>
      </c>
      <c r="F28" s="71"/>
      <c r="G28" s="71"/>
      <c r="H28" s="71" t="s">
        <v>65</v>
      </c>
      <c r="I28" s="12" t="s">
        <v>48</v>
      </c>
      <c r="J28" s="12" t="s">
        <v>53</v>
      </c>
      <c r="K28" s="5">
        <v>4</v>
      </c>
      <c r="L28" s="48">
        <v>17697</v>
      </c>
      <c r="M28" s="70">
        <v>0.25</v>
      </c>
      <c r="N28" s="48"/>
      <c r="O28" s="48">
        <v>3.65</v>
      </c>
      <c r="P28" s="48">
        <f t="shared" si="8"/>
        <v>64594.049999999996</v>
      </c>
      <c r="Q28" s="49">
        <f t="shared" si="5"/>
        <v>0</v>
      </c>
      <c r="R28" s="50">
        <f t="shared" si="9"/>
        <v>0</v>
      </c>
      <c r="S28" s="51">
        <f t="shared" si="10"/>
        <v>0.1</v>
      </c>
      <c r="T28" s="50">
        <f t="shared" si="11"/>
        <v>1614.85</v>
      </c>
      <c r="U28" s="52">
        <v>0.4</v>
      </c>
      <c r="V28" s="53">
        <f t="shared" si="7"/>
        <v>1769.7</v>
      </c>
      <c r="W28" s="53">
        <f t="shared" si="4"/>
        <v>19533.060000000001</v>
      </c>
      <c r="X28" s="222">
        <f t="shared" si="6"/>
        <v>78132.240000000005</v>
      </c>
      <c r="Z28" s="7" t="str">
        <f t="shared" si="15"/>
        <v>Арынова  П.Т.</v>
      </c>
      <c r="AA28" s="8">
        <f t="shared" si="16"/>
        <v>0.25</v>
      </c>
      <c r="AB28" s="8">
        <f>W28</f>
        <v>19533.060000000001</v>
      </c>
      <c r="AC28" s="9"/>
      <c r="AD28" s="7"/>
      <c r="AE28" s="16"/>
      <c r="AF28" s="8"/>
    </row>
    <row r="29" spans="1:32" s="6" customFormat="1" ht="15" x14ac:dyDescent="0.25">
      <c r="A29" s="34">
        <v>17</v>
      </c>
      <c r="B29" s="72" t="s">
        <v>70</v>
      </c>
      <c r="C29" s="56" t="s">
        <v>71</v>
      </c>
      <c r="D29" s="4" t="s">
        <v>35</v>
      </c>
      <c r="E29" s="4" t="s">
        <v>188</v>
      </c>
      <c r="F29" s="71"/>
      <c r="G29" s="71"/>
      <c r="H29" s="71" t="s">
        <v>65</v>
      </c>
      <c r="I29" s="12" t="s">
        <v>48</v>
      </c>
      <c r="J29" s="12" t="s">
        <v>49</v>
      </c>
      <c r="K29" s="5">
        <v>3</v>
      </c>
      <c r="L29" s="48">
        <v>17697</v>
      </c>
      <c r="M29" s="70">
        <v>1</v>
      </c>
      <c r="N29" s="227">
        <v>2</v>
      </c>
      <c r="O29" s="48">
        <v>3.13</v>
      </c>
      <c r="P29" s="48">
        <f t="shared" si="8"/>
        <v>55391.61</v>
      </c>
      <c r="Q29" s="49">
        <f t="shared" si="5"/>
        <v>0</v>
      </c>
      <c r="R29" s="50">
        <f t="shared" si="9"/>
        <v>0</v>
      </c>
      <c r="S29" s="51">
        <f t="shared" si="10"/>
        <v>0.1</v>
      </c>
      <c r="T29" s="50">
        <f t="shared" si="11"/>
        <v>5539.16</v>
      </c>
      <c r="U29" s="52">
        <v>0.4</v>
      </c>
      <c r="V29" s="53">
        <f t="shared" si="7"/>
        <v>7078.8</v>
      </c>
      <c r="W29" s="53">
        <f t="shared" si="4"/>
        <v>68009.570000000007</v>
      </c>
      <c r="X29" s="222">
        <f t="shared" si="6"/>
        <v>68009.570000000007</v>
      </c>
      <c r="Z29" s="7" t="str">
        <f t="shared" si="15"/>
        <v>Тезекбаева Р.Т.</v>
      </c>
      <c r="AA29" s="8">
        <f t="shared" si="16"/>
        <v>1</v>
      </c>
      <c r="AB29" s="8">
        <f>W29</f>
        <v>68009.570000000007</v>
      </c>
      <c r="AC29" s="9"/>
      <c r="AD29" s="7"/>
      <c r="AE29" s="16"/>
      <c r="AF29" s="8"/>
    </row>
    <row r="30" spans="1:32" s="6" customFormat="1" ht="15" x14ac:dyDescent="0.25">
      <c r="A30" s="34">
        <v>18</v>
      </c>
      <c r="B30" s="46" t="str">
        <f>'[1]РАСЧЁТЫ по действующей сист16'!B34</f>
        <v>Мруалина Т.</v>
      </c>
      <c r="C30" s="56" t="s">
        <v>72</v>
      </c>
      <c r="D30" s="4" t="s">
        <v>35</v>
      </c>
      <c r="E30" s="4" t="s">
        <v>187</v>
      </c>
      <c r="F30" s="71"/>
      <c r="G30" s="71"/>
      <c r="H30" s="71" t="s">
        <v>65</v>
      </c>
      <c r="I30" s="12" t="s">
        <v>48</v>
      </c>
      <c r="J30" s="12" t="s">
        <v>49</v>
      </c>
      <c r="K30" s="5">
        <v>4</v>
      </c>
      <c r="L30" s="48">
        <v>17697</v>
      </c>
      <c r="M30" s="70">
        <v>0.5</v>
      </c>
      <c r="N30" s="48"/>
      <c r="O30" s="48">
        <v>2.68</v>
      </c>
      <c r="P30" s="48">
        <f t="shared" si="8"/>
        <v>47427.960000000006</v>
      </c>
      <c r="Q30" s="49">
        <f t="shared" si="5"/>
        <v>0</v>
      </c>
      <c r="R30" s="50">
        <f t="shared" si="9"/>
        <v>0</v>
      </c>
      <c r="S30" s="51">
        <f t="shared" si="10"/>
        <v>0.1</v>
      </c>
      <c r="T30" s="50">
        <f t="shared" si="11"/>
        <v>2371.4</v>
      </c>
      <c r="U30" s="52">
        <v>0.4</v>
      </c>
      <c r="V30" s="53">
        <f t="shared" si="7"/>
        <v>3539.4</v>
      </c>
      <c r="W30" s="53">
        <f t="shared" si="4"/>
        <v>29624.78</v>
      </c>
      <c r="X30" s="222">
        <f t="shared" si="6"/>
        <v>59249.56</v>
      </c>
      <c r="Z30" s="7" t="str">
        <f t="shared" si="15"/>
        <v>Мруалина Т.</v>
      </c>
      <c r="AA30" s="8">
        <f t="shared" si="16"/>
        <v>0.5</v>
      </c>
      <c r="AB30" s="8">
        <f>W30</f>
        <v>29624.78</v>
      </c>
      <c r="AC30" s="9"/>
      <c r="AD30" s="7"/>
      <c r="AE30" s="16"/>
      <c r="AF30" s="8"/>
    </row>
    <row r="31" spans="1:32" s="6" customFormat="1" ht="15" x14ac:dyDescent="0.25">
      <c r="A31" s="34">
        <v>19</v>
      </c>
      <c r="B31" s="46" t="str">
        <f>'[1]РАСЧЁТЫ по действующей сист16'!B38</f>
        <v>Жуманова М.С.</v>
      </c>
      <c r="C31" s="56" t="s">
        <v>73</v>
      </c>
      <c r="D31" s="4" t="s">
        <v>28</v>
      </c>
      <c r="E31" s="4">
        <v>1</v>
      </c>
      <c r="F31" s="4"/>
      <c r="G31" s="4"/>
      <c r="H31" s="4">
        <v>1</v>
      </c>
      <c r="I31" s="12"/>
      <c r="J31" s="12" t="s">
        <v>37</v>
      </c>
      <c r="K31" s="5">
        <v>2</v>
      </c>
      <c r="L31" s="48">
        <v>17697</v>
      </c>
      <c r="M31" s="70">
        <v>1</v>
      </c>
      <c r="N31" s="71"/>
      <c r="O31" s="48">
        <v>3.15</v>
      </c>
      <c r="P31" s="48">
        <f t="shared" si="8"/>
        <v>55745.549999999996</v>
      </c>
      <c r="Q31" s="49">
        <f t="shared" si="5"/>
        <v>0</v>
      </c>
      <c r="R31" s="50">
        <f t="shared" si="9"/>
        <v>0</v>
      </c>
      <c r="S31" s="51">
        <f t="shared" si="10"/>
        <v>0.1</v>
      </c>
      <c r="T31" s="50">
        <f t="shared" si="11"/>
        <v>5574.56</v>
      </c>
      <c r="U31" s="52">
        <v>0</v>
      </c>
      <c r="V31" s="53">
        <f t="shared" si="7"/>
        <v>0</v>
      </c>
      <c r="W31" s="53">
        <f t="shared" si="4"/>
        <v>61320.11</v>
      </c>
      <c r="X31" s="222">
        <f t="shared" si="6"/>
        <v>61320.11</v>
      </c>
      <c r="Z31" s="7" t="str">
        <f>B31</f>
        <v>Жуманова М.С.</v>
      </c>
      <c r="AA31" s="8">
        <f t="shared" si="16"/>
        <v>1</v>
      </c>
      <c r="AB31" s="8">
        <f>W31</f>
        <v>61320.11</v>
      </c>
      <c r="AC31" s="9"/>
      <c r="AD31" s="7"/>
      <c r="AE31" s="16"/>
      <c r="AF31" s="8"/>
    </row>
    <row r="32" spans="1:32" s="6" customFormat="1" ht="30" x14ac:dyDescent="0.25">
      <c r="A32" s="34">
        <v>20</v>
      </c>
      <c r="B32" s="46" t="s">
        <v>74</v>
      </c>
      <c r="C32" s="56" t="s">
        <v>75</v>
      </c>
      <c r="D32" s="4" t="s">
        <v>28</v>
      </c>
      <c r="E32" s="224" t="s">
        <v>189</v>
      </c>
      <c r="F32" s="4"/>
      <c r="G32" s="4"/>
      <c r="H32" s="4">
        <v>1</v>
      </c>
      <c r="I32" s="12" t="s">
        <v>48</v>
      </c>
      <c r="J32" s="12" t="s">
        <v>56</v>
      </c>
      <c r="K32" s="226">
        <v>3</v>
      </c>
      <c r="L32" s="48">
        <v>17697</v>
      </c>
      <c r="M32" s="70">
        <v>1.25</v>
      </c>
      <c r="N32" s="228">
        <v>2</v>
      </c>
      <c r="O32" s="225">
        <v>3.39</v>
      </c>
      <c r="P32" s="48">
        <f t="shared" si="8"/>
        <v>59992.83</v>
      </c>
      <c r="Q32" s="49">
        <f t="shared" si="5"/>
        <v>0</v>
      </c>
      <c r="R32" s="50">
        <f t="shared" si="9"/>
        <v>0</v>
      </c>
      <c r="S32" s="51">
        <f t="shared" si="10"/>
        <v>0.1</v>
      </c>
      <c r="T32" s="50">
        <f t="shared" si="11"/>
        <v>7499.1</v>
      </c>
      <c r="U32" s="52">
        <v>0.4</v>
      </c>
      <c r="V32" s="53">
        <f t="shared" si="7"/>
        <v>8848.5</v>
      </c>
      <c r="W32" s="53">
        <f t="shared" si="4"/>
        <v>91338.64</v>
      </c>
      <c r="X32" s="222">
        <f t="shared" si="6"/>
        <v>73070.911999999997</v>
      </c>
      <c r="Z32" s="7"/>
      <c r="AA32" s="8">
        <f t="shared" si="16"/>
        <v>1.25</v>
      </c>
      <c r="AB32" s="8"/>
      <c r="AC32" s="9"/>
      <c r="AD32" s="7" t="str">
        <f t="shared" ref="AD32:AD43" si="17">B32</f>
        <v>Оразалинов Б.Ж.</v>
      </c>
      <c r="AE32" s="16">
        <f t="shared" ref="AE32:AE43" si="18">M32</f>
        <v>1.25</v>
      </c>
      <c r="AF32" s="8">
        <f t="shared" ref="AF32:AF43" si="19">W32</f>
        <v>91338.64</v>
      </c>
    </row>
    <row r="33" spans="1:32" s="6" customFormat="1" ht="15" x14ac:dyDescent="0.25">
      <c r="A33" s="34">
        <v>21</v>
      </c>
      <c r="B33" s="46" t="s">
        <v>77</v>
      </c>
      <c r="C33" s="56" t="s">
        <v>78</v>
      </c>
      <c r="D33" s="4" t="s">
        <v>28</v>
      </c>
      <c r="E33" s="34" t="s">
        <v>190</v>
      </c>
      <c r="F33" s="4"/>
      <c r="G33" s="4"/>
      <c r="H33" s="4">
        <v>1</v>
      </c>
      <c r="I33" s="12" t="s">
        <v>48</v>
      </c>
      <c r="J33" s="12" t="s">
        <v>56</v>
      </c>
      <c r="K33" s="5">
        <v>4</v>
      </c>
      <c r="L33" s="48">
        <v>17697</v>
      </c>
      <c r="M33" s="70">
        <v>1.25</v>
      </c>
      <c r="N33" s="71"/>
      <c r="O33" s="48">
        <v>3.04</v>
      </c>
      <c r="P33" s="48">
        <f t="shared" si="8"/>
        <v>53798.879999999997</v>
      </c>
      <c r="Q33" s="49">
        <f t="shared" si="5"/>
        <v>0</v>
      </c>
      <c r="R33" s="50">
        <f t="shared" si="9"/>
        <v>0</v>
      </c>
      <c r="S33" s="51">
        <f t="shared" si="10"/>
        <v>0.1</v>
      </c>
      <c r="T33" s="50">
        <f t="shared" si="11"/>
        <v>6724.86</v>
      </c>
      <c r="U33" s="52">
        <v>0.4</v>
      </c>
      <c r="V33" s="53">
        <f t="shared" si="7"/>
        <v>8848.5</v>
      </c>
      <c r="W33" s="53">
        <f t="shared" si="4"/>
        <v>82821.960000000006</v>
      </c>
      <c r="X33" s="222">
        <f t="shared" si="6"/>
        <v>66257.567999999999</v>
      </c>
      <c r="Z33" s="7"/>
      <c r="AA33" s="8">
        <f t="shared" si="16"/>
        <v>1.25</v>
      </c>
      <c r="AB33" s="8"/>
      <c r="AC33" s="13"/>
      <c r="AD33" s="7" t="str">
        <f t="shared" si="17"/>
        <v>Слуту Л.С.</v>
      </c>
      <c r="AE33" s="16">
        <f t="shared" si="18"/>
        <v>1.25</v>
      </c>
      <c r="AF33" s="8">
        <f t="shared" si="19"/>
        <v>82821.960000000006</v>
      </c>
    </row>
    <row r="34" spans="1:32" s="6" customFormat="1" ht="15" x14ac:dyDescent="0.25">
      <c r="A34" s="34">
        <v>22</v>
      </c>
      <c r="B34" s="46" t="str">
        <f>'[1]РАСЧЁТЫ по действующей сист16'!B43</f>
        <v>Жампеисова М.Б.</v>
      </c>
      <c r="C34" s="56" t="s">
        <v>78</v>
      </c>
      <c r="D34" s="4" t="s">
        <v>35</v>
      </c>
      <c r="E34" s="224" t="s">
        <v>191</v>
      </c>
      <c r="F34" s="71"/>
      <c r="G34" s="71"/>
      <c r="H34" s="71" t="s">
        <v>65</v>
      </c>
      <c r="I34" s="12" t="s">
        <v>48</v>
      </c>
      <c r="J34" s="12" t="s">
        <v>49</v>
      </c>
      <c r="K34" s="5">
        <v>4</v>
      </c>
      <c r="L34" s="48">
        <v>17697</v>
      </c>
      <c r="M34" s="70">
        <v>1.25</v>
      </c>
      <c r="N34" s="5"/>
      <c r="O34" s="225">
        <v>2.48</v>
      </c>
      <c r="P34" s="48">
        <f t="shared" si="8"/>
        <v>43888.56</v>
      </c>
      <c r="Q34" s="49">
        <f t="shared" si="5"/>
        <v>0</v>
      </c>
      <c r="R34" s="50">
        <f t="shared" si="9"/>
        <v>0</v>
      </c>
      <c r="S34" s="51">
        <f t="shared" si="10"/>
        <v>0.1</v>
      </c>
      <c r="T34" s="50">
        <f t="shared" si="11"/>
        <v>5486.07</v>
      </c>
      <c r="U34" s="52">
        <v>0.4</v>
      </c>
      <c r="V34" s="53">
        <f t="shared" si="7"/>
        <v>8848.5</v>
      </c>
      <c r="W34" s="53">
        <f t="shared" si="4"/>
        <v>69195.27</v>
      </c>
      <c r="X34" s="222">
        <f t="shared" si="6"/>
        <v>55356.216</v>
      </c>
      <c r="Z34" s="7"/>
      <c r="AA34" s="8"/>
      <c r="AB34" s="8"/>
      <c r="AC34" s="13"/>
      <c r="AD34" s="7" t="str">
        <f t="shared" si="17"/>
        <v>Жампеисова М.Б.</v>
      </c>
      <c r="AE34" s="16">
        <f t="shared" si="18"/>
        <v>1.25</v>
      </c>
      <c r="AF34" s="8">
        <f t="shared" si="19"/>
        <v>69195.27</v>
      </c>
    </row>
    <row r="35" spans="1:32" s="6" customFormat="1" ht="15" x14ac:dyDescent="0.25">
      <c r="A35" s="34">
        <v>23</v>
      </c>
      <c r="B35" s="46" t="s">
        <v>81</v>
      </c>
      <c r="C35" s="56" t="s">
        <v>78</v>
      </c>
      <c r="D35" s="4" t="s">
        <v>35</v>
      </c>
      <c r="E35" s="4" t="s">
        <v>192</v>
      </c>
      <c r="F35" s="71"/>
      <c r="G35" s="71"/>
      <c r="H35" s="71" t="s">
        <v>65</v>
      </c>
      <c r="I35" s="12" t="s">
        <v>48</v>
      </c>
      <c r="J35" s="12" t="s">
        <v>49</v>
      </c>
      <c r="K35" s="5">
        <v>2</v>
      </c>
      <c r="L35" s="48">
        <v>17697</v>
      </c>
      <c r="M35" s="70">
        <v>1.25</v>
      </c>
      <c r="N35" s="5">
        <v>1</v>
      </c>
      <c r="O35" s="48">
        <v>3.41</v>
      </c>
      <c r="P35" s="48">
        <f t="shared" si="8"/>
        <v>60346.770000000004</v>
      </c>
      <c r="Q35" s="49">
        <f t="shared" si="5"/>
        <v>0</v>
      </c>
      <c r="R35" s="50">
        <f t="shared" si="9"/>
        <v>0</v>
      </c>
      <c r="S35" s="51">
        <f t="shared" si="10"/>
        <v>0.1</v>
      </c>
      <c r="T35" s="50">
        <f t="shared" si="11"/>
        <v>7543.35</v>
      </c>
      <c r="U35" s="52">
        <v>0.4</v>
      </c>
      <c r="V35" s="53">
        <f t="shared" si="7"/>
        <v>8848.5</v>
      </c>
      <c r="W35" s="53">
        <f t="shared" si="4"/>
        <v>91825.31</v>
      </c>
      <c r="X35" s="222">
        <f t="shared" si="6"/>
        <v>73460.247999999992</v>
      </c>
      <c r="Z35" s="7"/>
      <c r="AA35" s="8"/>
      <c r="AB35" s="8"/>
      <c r="AC35" s="13"/>
      <c r="AD35" s="7" t="str">
        <f t="shared" si="17"/>
        <v>Абдулова Е.В.</v>
      </c>
      <c r="AE35" s="16">
        <f t="shared" si="18"/>
        <v>1.25</v>
      </c>
      <c r="AF35" s="8">
        <f t="shared" si="19"/>
        <v>91825.31</v>
      </c>
    </row>
    <row r="36" spans="1:32" s="6" customFormat="1" ht="15" x14ac:dyDescent="0.25">
      <c r="A36" s="34">
        <v>24</v>
      </c>
      <c r="B36" s="46" t="str">
        <f>'[1]РАСЧЁТЫ по действующей сист16'!B45</f>
        <v>Болпак  У.Б.</v>
      </c>
      <c r="C36" s="56" t="s">
        <v>78</v>
      </c>
      <c r="D36" s="4" t="s">
        <v>28</v>
      </c>
      <c r="E36" s="4" t="s">
        <v>193</v>
      </c>
      <c r="F36" s="71"/>
      <c r="G36" s="71"/>
      <c r="H36" s="71" t="s">
        <v>65</v>
      </c>
      <c r="I36" s="12" t="s">
        <v>48</v>
      </c>
      <c r="J36" s="12" t="s">
        <v>56</v>
      </c>
      <c r="K36" s="5">
        <v>4</v>
      </c>
      <c r="L36" s="48">
        <v>17697</v>
      </c>
      <c r="M36" s="70">
        <v>1.25</v>
      </c>
      <c r="N36" s="5"/>
      <c r="O36" s="48">
        <v>3.04</v>
      </c>
      <c r="P36" s="48">
        <f t="shared" si="8"/>
        <v>53798.879999999997</v>
      </c>
      <c r="Q36" s="49">
        <f t="shared" si="5"/>
        <v>0</v>
      </c>
      <c r="R36" s="50">
        <f t="shared" si="9"/>
        <v>0</v>
      </c>
      <c r="S36" s="51">
        <f t="shared" si="10"/>
        <v>0.1</v>
      </c>
      <c r="T36" s="50">
        <f t="shared" si="11"/>
        <v>6724.86</v>
      </c>
      <c r="U36" s="52">
        <v>0.4</v>
      </c>
      <c r="V36" s="53">
        <f t="shared" si="7"/>
        <v>8848.5</v>
      </c>
      <c r="W36" s="53">
        <f t="shared" si="4"/>
        <v>82821.960000000006</v>
      </c>
      <c r="X36" s="222">
        <f t="shared" si="6"/>
        <v>66257.567999999999</v>
      </c>
      <c r="Z36" s="7"/>
      <c r="AA36" s="8"/>
      <c r="AB36" s="8"/>
      <c r="AC36" s="13"/>
      <c r="AD36" s="7" t="str">
        <f t="shared" si="17"/>
        <v>Болпак  У.Б.</v>
      </c>
      <c r="AE36" s="16">
        <f t="shared" si="18"/>
        <v>1.25</v>
      </c>
      <c r="AF36" s="8">
        <f t="shared" si="19"/>
        <v>82821.960000000006</v>
      </c>
    </row>
    <row r="37" spans="1:32" s="6" customFormat="1" ht="15" x14ac:dyDescent="0.25">
      <c r="A37" s="34">
        <v>25</v>
      </c>
      <c r="B37" s="46" t="s">
        <v>84</v>
      </c>
      <c r="C37" s="56" t="s">
        <v>78</v>
      </c>
      <c r="D37" s="12" t="s">
        <v>28</v>
      </c>
      <c r="E37" s="12" t="s">
        <v>207</v>
      </c>
      <c r="F37" s="71"/>
      <c r="G37" s="71"/>
      <c r="H37" s="71" t="s">
        <v>65</v>
      </c>
      <c r="I37" s="12" t="s">
        <v>48</v>
      </c>
      <c r="J37" s="12" t="s">
        <v>56</v>
      </c>
      <c r="K37" s="5">
        <v>3</v>
      </c>
      <c r="L37" s="48">
        <v>17697</v>
      </c>
      <c r="M37" s="70">
        <v>1.25</v>
      </c>
      <c r="N37" s="226">
        <v>2</v>
      </c>
      <c r="O37" s="225">
        <v>3.51</v>
      </c>
      <c r="P37" s="48">
        <f t="shared" si="8"/>
        <v>62116.469999999994</v>
      </c>
      <c r="Q37" s="49">
        <f t="shared" si="5"/>
        <v>0</v>
      </c>
      <c r="R37" s="50">
        <f t="shared" si="9"/>
        <v>0</v>
      </c>
      <c r="S37" s="51">
        <f t="shared" si="10"/>
        <v>0.1</v>
      </c>
      <c r="T37" s="50">
        <f t="shared" si="11"/>
        <v>7764.56</v>
      </c>
      <c r="U37" s="52">
        <v>0.4</v>
      </c>
      <c r="V37" s="53">
        <f t="shared" si="7"/>
        <v>8848.5</v>
      </c>
      <c r="W37" s="53">
        <f t="shared" si="4"/>
        <v>94258.65</v>
      </c>
      <c r="X37" s="222">
        <f t="shared" si="6"/>
        <v>75406.92</v>
      </c>
      <c r="Z37" s="7"/>
      <c r="AA37" s="8"/>
      <c r="AB37" s="8"/>
      <c r="AC37" s="13"/>
      <c r="AD37" s="7" t="str">
        <f t="shared" si="17"/>
        <v>Абыкеева К.К</v>
      </c>
      <c r="AE37" s="16">
        <f t="shared" si="18"/>
        <v>1.25</v>
      </c>
      <c r="AF37" s="8">
        <f t="shared" si="19"/>
        <v>94258.65</v>
      </c>
    </row>
    <row r="38" spans="1:32" s="6" customFormat="1" ht="15" x14ac:dyDescent="0.25">
      <c r="A38" s="34">
        <v>26</v>
      </c>
      <c r="B38" s="46" t="str">
        <f>'[1]РАСЧЁТЫ по действующей сист16'!B47</f>
        <v>Рыскалиева Г.С.</v>
      </c>
      <c r="C38" s="56" t="s">
        <v>78</v>
      </c>
      <c r="D38" s="12" t="s">
        <v>28</v>
      </c>
      <c r="E38" s="12" t="s">
        <v>194</v>
      </c>
      <c r="F38" s="71"/>
      <c r="G38" s="71"/>
      <c r="H38" s="71" t="s">
        <v>65</v>
      </c>
      <c r="I38" s="12" t="s">
        <v>48</v>
      </c>
      <c r="J38" s="12" t="s">
        <v>56</v>
      </c>
      <c r="K38" s="5">
        <v>3</v>
      </c>
      <c r="L38" s="48">
        <v>17697</v>
      </c>
      <c r="M38" s="70">
        <v>1.25</v>
      </c>
      <c r="N38" s="5">
        <v>2</v>
      </c>
      <c r="O38" s="48">
        <v>3.57</v>
      </c>
      <c r="P38" s="48">
        <f t="shared" si="8"/>
        <v>63178.289999999994</v>
      </c>
      <c r="Q38" s="49">
        <f t="shared" si="5"/>
        <v>0</v>
      </c>
      <c r="R38" s="50">
        <f t="shared" si="9"/>
        <v>0</v>
      </c>
      <c r="S38" s="51">
        <f t="shared" si="10"/>
        <v>0.1</v>
      </c>
      <c r="T38" s="50">
        <f t="shared" si="11"/>
        <v>7897.29</v>
      </c>
      <c r="U38" s="52">
        <v>0.4</v>
      </c>
      <c r="V38" s="53">
        <f t="shared" si="7"/>
        <v>8848.5</v>
      </c>
      <c r="W38" s="53">
        <f t="shared" si="4"/>
        <v>95718.65</v>
      </c>
      <c r="X38" s="222">
        <f t="shared" si="6"/>
        <v>76574.92</v>
      </c>
      <c r="Z38" s="7"/>
      <c r="AA38" s="8"/>
      <c r="AB38" s="8"/>
      <c r="AC38" s="13"/>
      <c r="AD38" s="7" t="str">
        <f t="shared" si="17"/>
        <v>Рыскалиева Г.С.</v>
      </c>
      <c r="AE38" s="16">
        <f t="shared" si="18"/>
        <v>1.25</v>
      </c>
      <c r="AF38" s="8">
        <f t="shared" si="19"/>
        <v>95718.65</v>
      </c>
    </row>
    <row r="39" spans="1:32" s="6" customFormat="1" ht="15" x14ac:dyDescent="0.25">
      <c r="A39" s="34">
        <v>27</v>
      </c>
      <c r="B39" s="46" t="s">
        <v>87</v>
      </c>
      <c r="C39" s="56" t="s">
        <v>78</v>
      </c>
      <c r="D39" s="12" t="s">
        <v>28</v>
      </c>
      <c r="E39" s="71" t="s">
        <v>195</v>
      </c>
      <c r="F39" s="71"/>
      <c r="G39" s="71"/>
      <c r="H39" s="71" t="s">
        <v>65</v>
      </c>
      <c r="I39" s="12" t="s">
        <v>48</v>
      </c>
      <c r="J39" s="12" t="s">
        <v>56</v>
      </c>
      <c r="K39" s="5">
        <v>2</v>
      </c>
      <c r="L39" s="48">
        <v>17697</v>
      </c>
      <c r="M39" s="70">
        <v>1.25</v>
      </c>
      <c r="N39" s="5">
        <v>1</v>
      </c>
      <c r="O39" s="48">
        <v>3.86</v>
      </c>
      <c r="P39" s="48">
        <f t="shared" si="8"/>
        <v>68310.42</v>
      </c>
      <c r="Q39" s="49">
        <f t="shared" si="5"/>
        <v>0</v>
      </c>
      <c r="R39" s="50">
        <f t="shared" si="9"/>
        <v>0</v>
      </c>
      <c r="S39" s="51">
        <f t="shared" si="10"/>
        <v>0.1</v>
      </c>
      <c r="T39" s="50">
        <f t="shared" si="11"/>
        <v>8538.7999999999993</v>
      </c>
      <c r="U39" s="52">
        <v>0.4</v>
      </c>
      <c r="V39" s="53">
        <f t="shared" si="7"/>
        <v>8848.5</v>
      </c>
      <c r="W39" s="53">
        <f t="shared" si="4"/>
        <v>102775.33</v>
      </c>
      <c r="X39" s="222">
        <f t="shared" si="6"/>
        <v>82220.263999999996</v>
      </c>
      <c r="Z39" s="7"/>
      <c r="AA39" s="8"/>
      <c r="AB39" s="8"/>
      <c r="AC39" s="13"/>
      <c r="AD39" s="7" t="str">
        <f t="shared" si="17"/>
        <v>Жанзакова З. К.</v>
      </c>
      <c r="AE39" s="16">
        <f t="shared" si="18"/>
        <v>1.25</v>
      </c>
      <c r="AF39" s="8">
        <f t="shared" si="19"/>
        <v>102775.33</v>
      </c>
    </row>
    <row r="40" spans="1:32" s="6" customFormat="1" ht="15" x14ac:dyDescent="0.25">
      <c r="A40" s="34">
        <v>28</v>
      </c>
      <c r="B40" s="46" t="str">
        <f>'[1]РАСЧЁТЫ по действующей сист16'!B50</f>
        <v>Инкарбаева М.Ж.</v>
      </c>
      <c r="C40" s="56" t="s">
        <v>78</v>
      </c>
      <c r="D40" s="12" t="s">
        <v>28</v>
      </c>
      <c r="E40" s="71" t="s">
        <v>196</v>
      </c>
      <c r="F40" s="71"/>
      <c r="G40" s="71"/>
      <c r="H40" s="71" t="s">
        <v>65</v>
      </c>
      <c r="I40" s="12" t="s">
        <v>48</v>
      </c>
      <c r="J40" s="12" t="s">
        <v>56</v>
      </c>
      <c r="K40" s="5">
        <v>3</v>
      </c>
      <c r="L40" s="48">
        <v>17697</v>
      </c>
      <c r="M40" s="70">
        <v>1.25</v>
      </c>
      <c r="N40" s="5">
        <v>2</v>
      </c>
      <c r="O40" s="48">
        <v>3.45</v>
      </c>
      <c r="P40" s="48">
        <f t="shared" si="8"/>
        <v>61054.65</v>
      </c>
      <c r="Q40" s="49">
        <f t="shared" si="5"/>
        <v>0</v>
      </c>
      <c r="R40" s="50">
        <f t="shared" si="9"/>
        <v>0</v>
      </c>
      <c r="S40" s="51">
        <f t="shared" si="10"/>
        <v>0.1</v>
      </c>
      <c r="T40" s="50">
        <f t="shared" si="11"/>
        <v>7631.83</v>
      </c>
      <c r="U40" s="52">
        <v>0.4</v>
      </c>
      <c r="V40" s="53">
        <f t="shared" si="7"/>
        <v>8848.5</v>
      </c>
      <c r="W40" s="53">
        <f t="shared" si="4"/>
        <v>92798.64</v>
      </c>
      <c r="X40" s="222">
        <f t="shared" si="6"/>
        <v>74238.911999999997</v>
      </c>
      <c r="Z40" s="7"/>
      <c r="AA40" s="8"/>
      <c r="AB40" s="8"/>
      <c r="AC40" s="13"/>
      <c r="AD40" s="7" t="str">
        <f t="shared" si="17"/>
        <v>Инкарбаева М.Ж.</v>
      </c>
      <c r="AE40" s="16">
        <f t="shared" si="18"/>
        <v>1.25</v>
      </c>
      <c r="AF40" s="8">
        <f t="shared" si="19"/>
        <v>92798.64</v>
      </c>
    </row>
    <row r="41" spans="1:32" s="6" customFormat="1" ht="15" x14ac:dyDescent="0.25">
      <c r="A41" s="34">
        <v>29</v>
      </c>
      <c r="B41" s="46" t="str">
        <f>'[1]РАСЧЁТЫ по действующей сист16'!B51</f>
        <v>Молдабаева А.Д.</v>
      </c>
      <c r="C41" s="56" t="s">
        <v>78</v>
      </c>
      <c r="D41" s="12" t="s">
        <v>28</v>
      </c>
      <c r="E41" s="71" t="s">
        <v>197</v>
      </c>
      <c r="F41" s="71"/>
      <c r="G41" s="71"/>
      <c r="H41" s="71" t="s">
        <v>65</v>
      </c>
      <c r="I41" s="12" t="s">
        <v>48</v>
      </c>
      <c r="J41" s="12" t="s">
        <v>56</v>
      </c>
      <c r="K41" s="5">
        <v>4</v>
      </c>
      <c r="L41" s="48">
        <v>17697</v>
      </c>
      <c r="M41" s="70">
        <v>1.25</v>
      </c>
      <c r="N41" s="71"/>
      <c r="O41" s="48">
        <v>2.82</v>
      </c>
      <c r="P41" s="48">
        <f t="shared" si="8"/>
        <v>49905.539999999994</v>
      </c>
      <c r="Q41" s="49">
        <f t="shared" si="5"/>
        <v>0</v>
      </c>
      <c r="R41" s="50">
        <f t="shared" si="9"/>
        <v>0</v>
      </c>
      <c r="S41" s="51">
        <f t="shared" si="10"/>
        <v>0.1</v>
      </c>
      <c r="T41" s="50">
        <f t="shared" si="11"/>
        <v>6238.19</v>
      </c>
      <c r="U41" s="52">
        <v>0.4</v>
      </c>
      <c r="V41" s="53">
        <f t="shared" si="7"/>
        <v>8848.5</v>
      </c>
      <c r="W41" s="53">
        <f t="shared" si="4"/>
        <v>77468.62</v>
      </c>
      <c r="X41" s="222">
        <f t="shared" si="6"/>
        <v>61974.895999999993</v>
      </c>
      <c r="Z41" s="7"/>
      <c r="AA41" s="8"/>
      <c r="AB41" s="8"/>
      <c r="AC41" s="13"/>
      <c r="AD41" s="7" t="str">
        <f t="shared" si="17"/>
        <v>Молдабаева А.Д.</v>
      </c>
      <c r="AE41" s="16">
        <f t="shared" si="18"/>
        <v>1.25</v>
      </c>
      <c r="AF41" s="8">
        <f t="shared" si="19"/>
        <v>77468.62</v>
      </c>
    </row>
    <row r="42" spans="1:32" s="6" customFormat="1" ht="15" x14ac:dyDescent="0.25">
      <c r="A42" s="34">
        <v>30</v>
      </c>
      <c r="B42" s="46" t="str">
        <f>'[1]РАСЧЁТЫ по действующей сист16'!B52</f>
        <v>Манарова Р.О.</v>
      </c>
      <c r="C42" s="56" t="s">
        <v>78</v>
      </c>
      <c r="D42" s="12" t="s">
        <v>28</v>
      </c>
      <c r="E42" s="71" t="s">
        <v>198</v>
      </c>
      <c r="F42" s="71"/>
      <c r="G42" s="71"/>
      <c r="H42" s="71" t="s">
        <v>65</v>
      </c>
      <c r="I42" s="12" t="s">
        <v>48</v>
      </c>
      <c r="J42" s="12" t="s">
        <v>56</v>
      </c>
      <c r="K42" s="5">
        <v>4</v>
      </c>
      <c r="L42" s="48">
        <v>17697</v>
      </c>
      <c r="M42" s="70">
        <v>1.25</v>
      </c>
      <c r="N42" s="71"/>
      <c r="O42" s="48">
        <v>3.28</v>
      </c>
      <c r="P42" s="48">
        <f t="shared" si="8"/>
        <v>58046.159999999996</v>
      </c>
      <c r="Q42" s="49">
        <f t="shared" si="5"/>
        <v>0</v>
      </c>
      <c r="R42" s="50">
        <f t="shared" si="9"/>
        <v>0</v>
      </c>
      <c r="S42" s="51">
        <f t="shared" si="10"/>
        <v>0.1</v>
      </c>
      <c r="T42" s="50">
        <f t="shared" si="11"/>
        <v>7255.77</v>
      </c>
      <c r="U42" s="52">
        <v>0.4</v>
      </c>
      <c r="V42" s="53">
        <f t="shared" si="7"/>
        <v>8848.5</v>
      </c>
      <c r="W42" s="53">
        <f t="shared" si="4"/>
        <v>88661.97</v>
      </c>
      <c r="X42" s="222">
        <f t="shared" si="6"/>
        <v>70929.576000000001</v>
      </c>
      <c r="Z42" s="7"/>
      <c r="AA42" s="8"/>
      <c r="AB42" s="8"/>
      <c r="AC42" s="13"/>
      <c r="AD42" s="7" t="str">
        <f t="shared" si="17"/>
        <v>Манарова Р.О.</v>
      </c>
      <c r="AE42" s="16">
        <f t="shared" si="18"/>
        <v>1.25</v>
      </c>
      <c r="AF42" s="8">
        <f t="shared" si="19"/>
        <v>88661.97</v>
      </c>
    </row>
    <row r="43" spans="1:32" s="6" customFormat="1" ht="45" x14ac:dyDescent="0.25">
      <c r="A43" s="34">
        <v>31</v>
      </c>
      <c r="B43" s="46" t="str">
        <f>'[1]РАСЧЁТЫ по действующей сист16'!B73</f>
        <v>Никифоров Л.</v>
      </c>
      <c r="C43" s="56" t="s">
        <v>92</v>
      </c>
      <c r="D43" s="4" t="s">
        <v>28</v>
      </c>
      <c r="E43" s="4" t="s">
        <v>199</v>
      </c>
      <c r="F43" s="4"/>
      <c r="G43" s="4"/>
      <c r="H43" s="4">
        <v>1</v>
      </c>
      <c r="I43" s="12"/>
      <c r="J43" s="12"/>
      <c r="K43" s="5" t="s">
        <v>94</v>
      </c>
      <c r="L43" s="48">
        <v>17697</v>
      </c>
      <c r="M43" s="70">
        <v>0.25</v>
      </c>
      <c r="N43" s="71"/>
      <c r="O43" s="48">
        <v>1.84</v>
      </c>
      <c r="P43" s="48">
        <f t="shared" si="8"/>
        <v>32562.480000000003</v>
      </c>
      <c r="Q43" s="49">
        <f t="shared" si="5"/>
        <v>0</v>
      </c>
      <c r="R43" s="50">
        <f t="shared" si="9"/>
        <v>0</v>
      </c>
      <c r="S43" s="51">
        <f t="shared" si="10"/>
        <v>0.1</v>
      </c>
      <c r="T43" s="50">
        <f t="shared" si="11"/>
        <v>814.06</v>
      </c>
      <c r="U43" s="52"/>
      <c r="V43" s="53">
        <f t="shared" si="7"/>
        <v>0</v>
      </c>
      <c r="W43" s="53">
        <f t="shared" si="4"/>
        <v>8954.68</v>
      </c>
      <c r="X43" s="222">
        <f t="shared" si="6"/>
        <v>35818.720000000001</v>
      </c>
      <c r="Z43" s="7"/>
      <c r="AA43" s="8"/>
      <c r="AB43" s="8"/>
      <c r="AC43" s="9"/>
      <c r="AD43" s="7" t="str">
        <f t="shared" si="17"/>
        <v>Никифоров Л.</v>
      </c>
      <c r="AE43" s="16">
        <f t="shared" si="18"/>
        <v>0.25</v>
      </c>
      <c r="AF43" s="8">
        <f t="shared" si="19"/>
        <v>8954.68</v>
      </c>
    </row>
    <row r="44" spans="1:32" s="6" customFormat="1" ht="15" x14ac:dyDescent="0.25">
      <c r="A44" s="34">
        <v>32</v>
      </c>
      <c r="B44" s="46" t="str">
        <f>'[1]РАСЧЁТЫ по действующей сист16'!B76</f>
        <v>Кабылдина Л.Ж.</v>
      </c>
      <c r="C44" s="56" t="s">
        <v>95</v>
      </c>
      <c r="D44" s="4" t="s">
        <v>35</v>
      </c>
      <c r="E44" s="71" t="s">
        <v>41</v>
      </c>
      <c r="F44" s="71"/>
      <c r="G44" s="71"/>
      <c r="H44" s="71" t="s">
        <v>65</v>
      </c>
      <c r="I44" s="12"/>
      <c r="J44" s="12"/>
      <c r="K44" s="5" t="s">
        <v>94</v>
      </c>
      <c r="L44" s="48">
        <v>17697</v>
      </c>
      <c r="M44" s="70">
        <v>1.25</v>
      </c>
      <c r="N44" s="57"/>
      <c r="O44" s="48">
        <v>1.64</v>
      </c>
      <c r="P44" s="48">
        <f t="shared" si="8"/>
        <v>29023.079999999998</v>
      </c>
      <c r="Q44" s="49">
        <f t="shared" si="5"/>
        <v>0</v>
      </c>
      <c r="R44" s="50">
        <f t="shared" si="9"/>
        <v>0</v>
      </c>
      <c r="S44" s="51">
        <f t="shared" si="10"/>
        <v>0.1</v>
      </c>
      <c r="T44" s="50">
        <f t="shared" si="11"/>
        <v>3627.89</v>
      </c>
      <c r="U44" s="52">
        <v>0.7</v>
      </c>
      <c r="V44" s="53">
        <f t="shared" si="7"/>
        <v>15484.875</v>
      </c>
      <c r="W44" s="53">
        <f t="shared" si="4"/>
        <v>55391.62</v>
      </c>
      <c r="X44" s="222">
        <f t="shared" si="6"/>
        <v>44313.296000000002</v>
      </c>
      <c r="Z44" s="7" t="str">
        <f t="shared" ref="Z44:Z48" si="20">B44</f>
        <v>Кабылдина Л.Ж.</v>
      </c>
      <c r="AA44" s="8">
        <f>M44</f>
        <v>1.25</v>
      </c>
      <c r="AB44" s="8">
        <f>W44</f>
        <v>55391.62</v>
      </c>
      <c r="AC44" s="9"/>
      <c r="AD44" s="7"/>
      <c r="AE44" s="16"/>
      <c r="AF44" s="8"/>
    </row>
    <row r="45" spans="1:32" s="6" customFormat="1" ht="15" x14ac:dyDescent="0.25">
      <c r="A45" s="34">
        <v>33</v>
      </c>
      <c r="B45" s="46" t="str">
        <f>'[1]РАСЧЁТЫ по действующей сист16'!B77</f>
        <v>Сагимбаева Ж.Ж.</v>
      </c>
      <c r="C45" s="56" t="s">
        <v>95</v>
      </c>
      <c r="D45" s="4" t="s">
        <v>35</v>
      </c>
      <c r="E45" s="71" t="s">
        <v>200</v>
      </c>
      <c r="F45" s="71"/>
      <c r="G45" s="71"/>
      <c r="H45" s="71" t="s">
        <v>65</v>
      </c>
      <c r="I45" s="12"/>
      <c r="J45" s="12"/>
      <c r="K45" s="5" t="s">
        <v>94</v>
      </c>
      <c r="L45" s="48">
        <v>17697</v>
      </c>
      <c r="M45" s="70">
        <v>1.25</v>
      </c>
      <c r="N45" s="57"/>
      <c r="O45" s="48">
        <v>1.84</v>
      </c>
      <c r="P45" s="48">
        <f t="shared" si="8"/>
        <v>32562.480000000003</v>
      </c>
      <c r="Q45" s="49">
        <f t="shared" si="5"/>
        <v>0</v>
      </c>
      <c r="R45" s="50">
        <f t="shared" si="9"/>
        <v>0</v>
      </c>
      <c r="S45" s="51">
        <f t="shared" si="10"/>
        <v>0.1</v>
      </c>
      <c r="T45" s="50">
        <f t="shared" si="11"/>
        <v>4070.31</v>
      </c>
      <c r="U45" s="52">
        <v>0.7</v>
      </c>
      <c r="V45" s="53">
        <f t="shared" si="7"/>
        <v>15484.875</v>
      </c>
      <c r="W45" s="53">
        <f t="shared" si="4"/>
        <v>60258.29</v>
      </c>
      <c r="X45" s="222">
        <f t="shared" si="6"/>
        <v>48206.631999999998</v>
      </c>
      <c r="Z45" s="7" t="str">
        <f t="shared" si="20"/>
        <v>Сагимбаева Ж.Ж.</v>
      </c>
      <c r="AA45" s="8">
        <f>M45</f>
        <v>1.25</v>
      </c>
      <c r="AB45" s="8">
        <f>W45</f>
        <v>60258.29</v>
      </c>
      <c r="AC45" s="9"/>
      <c r="AD45" s="7"/>
      <c r="AE45" s="16"/>
      <c r="AF45" s="8"/>
    </row>
    <row r="46" spans="1:32" s="6" customFormat="1" ht="15" x14ac:dyDescent="0.25">
      <c r="A46" s="34">
        <v>34</v>
      </c>
      <c r="B46" s="46" t="s">
        <v>97</v>
      </c>
      <c r="C46" s="56" t="s">
        <v>95</v>
      </c>
      <c r="D46" s="4" t="s">
        <v>35</v>
      </c>
      <c r="E46" s="71" t="s">
        <v>41</v>
      </c>
      <c r="F46" s="71"/>
      <c r="G46" s="71"/>
      <c r="H46" s="71" t="s">
        <v>65</v>
      </c>
      <c r="I46" s="12"/>
      <c r="J46" s="12"/>
      <c r="K46" s="5" t="s">
        <v>94</v>
      </c>
      <c r="L46" s="48">
        <v>17697</v>
      </c>
      <c r="M46" s="70">
        <v>1.25</v>
      </c>
      <c r="N46" s="57"/>
      <c r="O46" s="48">
        <v>1.64</v>
      </c>
      <c r="P46" s="48">
        <f t="shared" si="8"/>
        <v>29023.079999999998</v>
      </c>
      <c r="Q46" s="49">
        <f t="shared" si="5"/>
        <v>0</v>
      </c>
      <c r="R46" s="50">
        <f t="shared" si="9"/>
        <v>0</v>
      </c>
      <c r="S46" s="51">
        <f t="shared" si="10"/>
        <v>0.1</v>
      </c>
      <c r="T46" s="50">
        <f t="shared" si="11"/>
        <v>3627.89</v>
      </c>
      <c r="U46" s="52">
        <v>0.7</v>
      </c>
      <c r="V46" s="53">
        <f t="shared" si="7"/>
        <v>15484.875</v>
      </c>
      <c r="W46" s="53">
        <f t="shared" si="4"/>
        <v>55391.62</v>
      </c>
      <c r="X46" s="222">
        <f t="shared" si="6"/>
        <v>44313.296000000002</v>
      </c>
      <c r="Z46" s="7" t="str">
        <f t="shared" si="20"/>
        <v>Арынова С. Ж.</v>
      </c>
      <c r="AA46" s="8">
        <f>M46</f>
        <v>1.25</v>
      </c>
      <c r="AB46" s="8">
        <f>W46</f>
        <v>55391.62</v>
      </c>
      <c r="AC46" s="9"/>
      <c r="AD46" s="7"/>
      <c r="AE46" s="16"/>
      <c r="AF46" s="8"/>
    </row>
    <row r="47" spans="1:32" s="6" customFormat="1" ht="15" x14ac:dyDescent="0.25">
      <c r="A47" s="34">
        <v>35</v>
      </c>
      <c r="B47" s="46" t="str">
        <f>'[1]РАСЧЁТЫ по действующей сист16'!B79</f>
        <v>Арынова Б.</v>
      </c>
      <c r="C47" s="56" t="s">
        <v>95</v>
      </c>
      <c r="D47" s="4" t="s">
        <v>35</v>
      </c>
      <c r="E47" s="71" t="s">
        <v>41</v>
      </c>
      <c r="F47" s="71"/>
      <c r="G47" s="71"/>
      <c r="H47" s="71" t="s">
        <v>65</v>
      </c>
      <c r="I47" s="12"/>
      <c r="J47" s="12"/>
      <c r="K47" s="5" t="s">
        <v>94</v>
      </c>
      <c r="L47" s="48">
        <v>17697</v>
      </c>
      <c r="M47" s="70">
        <v>1.25</v>
      </c>
      <c r="N47" s="57"/>
      <c r="O47" s="48">
        <v>1.64</v>
      </c>
      <c r="P47" s="48">
        <f t="shared" si="8"/>
        <v>29023.079999999998</v>
      </c>
      <c r="Q47" s="49">
        <f t="shared" si="5"/>
        <v>0</v>
      </c>
      <c r="R47" s="50">
        <f t="shared" si="9"/>
        <v>0</v>
      </c>
      <c r="S47" s="51">
        <f t="shared" si="10"/>
        <v>0.1</v>
      </c>
      <c r="T47" s="50">
        <f t="shared" si="11"/>
        <v>3627.89</v>
      </c>
      <c r="U47" s="52">
        <v>0.7</v>
      </c>
      <c r="V47" s="53">
        <f t="shared" si="7"/>
        <v>15484.875</v>
      </c>
      <c r="W47" s="53">
        <f t="shared" si="4"/>
        <v>55391.62</v>
      </c>
      <c r="X47" s="222">
        <f t="shared" si="6"/>
        <v>44313.296000000002</v>
      </c>
      <c r="Z47" s="7" t="str">
        <f t="shared" si="20"/>
        <v>Арынова Б.</v>
      </c>
      <c r="AA47" s="8">
        <f>M47</f>
        <v>1.25</v>
      </c>
      <c r="AB47" s="8">
        <f>W47</f>
        <v>55391.62</v>
      </c>
      <c r="AC47" s="9"/>
      <c r="AD47" s="7"/>
      <c r="AE47" s="16"/>
      <c r="AF47" s="8"/>
    </row>
    <row r="48" spans="1:32" s="6" customFormat="1" ht="15" x14ac:dyDescent="0.25">
      <c r="A48" s="34">
        <v>36</v>
      </c>
      <c r="B48" s="46" t="str">
        <f>'[1]РАСЧЁТЫ по действующей сист16'!B80</f>
        <v>Ибрагимова К.К.</v>
      </c>
      <c r="C48" s="56" t="s">
        <v>95</v>
      </c>
      <c r="D48" s="4" t="s">
        <v>35</v>
      </c>
      <c r="E48" s="71" t="s">
        <v>201</v>
      </c>
      <c r="F48" s="71"/>
      <c r="G48" s="71"/>
      <c r="H48" s="71" t="s">
        <v>65</v>
      </c>
      <c r="I48" s="12"/>
      <c r="J48" s="12"/>
      <c r="K48" s="5" t="s">
        <v>94</v>
      </c>
      <c r="L48" s="48">
        <v>17697</v>
      </c>
      <c r="M48" s="70">
        <v>1.25</v>
      </c>
      <c r="N48" s="57"/>
      <c r="O48" s="48">
        <v>1.76</v>
      </c>
      <c r="P48" s="48">
        <f t="shared" si="8"/>
        <v>31146.720000000001</v>
      </c>
      <c r="Q48" s="49">
        <f t="shared" si="5"/>
        <v>0</v>
      </c>
      <c r="R48" s="50">
        <f t="shared" si="9"/>
        <v>0</v>
      </c>
      <c r="S48" s="51">
        <f t="shared" si="10"/>
        <v>0.1</v>
      </c>
      <c r="T48" s="50">
        <f t="shared" si="11"/>
        <v>3893.34</v>
      </c>
      <c r="U48" s="52">
        <v>0.7</v>
      </c>
      <c r="V48" s="53">
        <f t="shared" si="7"/>
        <v>15484.875</v>
      </c>
      <c r="W48" s="53">
        <f t="shared" si="4"/>
        <v>58311.62</v>
      </c>
      <c r="X48" s="222">
        <f t="shared" si="6"/>
        <v>46649.296000000002</v>
      </c>
      <c r="Z48" s="7" t="str">
        <f t="shared" si="20"/>
        <v>Ибрагимова К.К.</v>
      </c>
      <c r="AA48" s="8">
        <f>M48</f>
        <v>1.25</v>
      </c>
      <c r="AB48" s="8">
        <f>W48</f>
        <v>58311.62</v>
      </c>
      <c r="AC48" s="9"/>
      <c r="AD48" s="7"/>
      <c r="AE48" s="16"/>
      <c r="AF48" s="8"/>
    </row>
    <row r="49" spans="1:34" s="6" customFormat="1" ht="30.75" thickBot="1" x14ac:dyDescent="0.3">
      <c r="A49" s="34">
        <v>37</v>
      </c>
      <c r="B49" s="46" t="str">
        <f>'[1]РАСЧЁТЫ по действующей сист16'!B90</f>
        <v>Аллахвердиева И.В.</v>
      </c>
      <c r="C49" s="56" t="s">
        <v>99</v>
      </c>
      <c r="D49" s="4" t="s">
        <v>28</v>
      </c>
      <c r="E49" s="71" t="s">
        <v>202</v>
      </c>
      <c r="F49" s="71"/>
      <c r="G49" s="71"/>
      <c r="H49" s="71" t="s">
        <v>65</v>
      </c>
      <c r="I49" s="12" t="s">
        <v>48</v>
      </c>
      <c r="J49" s="12" t="s">
        <v>56</v>
      </c>
      <c r="K49" s="5">
        <v>1</v>
      </c>
      <c r="L49" s="48">
        <v>17697</v>
      </c>
      <c r="M49" s="70">
        <v>1.25</v>
      </c>
      <c r="N49" s="71" t="s">
        <v>101</v>
      </c>
      <c r="O49" s="48">
        <v>4.26</v>
      </c>
      <c r="P49" s="48">
        <f t="shared" si="8"/>
        <v>75389.22</v>
      </c>
      <c r="Q49" s="49">
        <f t="shared" si="5"/>
        <v>0</v>
      </c>
      <c r="R49" s="50">
        <f t="shared" si="9"/>
        <v>0</v>
      </c>
      <c r="S49" s="51">
        <f t="shared" si="10"/>
        <v>0.1</v>
      </c>
      <c r="T49" s="50">
        <f t="shared" si="11"/>
        <v>9423.65</v>
      </c>
      <c r="U49" s="52">
        <v>0.4</v>
      </c>
      <c r="V49" s="53">
        <f t="shared" si="7"/>
        <v>8848.5</v>
      </c>
      <c r="W49" s="53">
        <f t="shared" si="4"/>
        <v>112508.68</v>
      </c>
      <c r="X49" s="222">
        <f t="shared" si="6"/>
        <v>90006.943999999989</v>
      </c>
      <c r="Y49" s="11"/>
      <c r="Z49" s="7"/>
      <c r="AA49" s="8"/>
      <c r="AB49" s="8"/>
      <c r="AC49" s="13"/>
      <c r="AD49" s="7" t="str">
        <f>B49</f>
        <v>Аллахвердиева И.В.</v>
      </c>
      <c r="AE49" s="16">
        <f>M49</f>
        <v>1.25</v>
      </c>
      <c r="AF49" s="8">
        <f>W49</f>
        <v>112508.68</v>
      </c>
    </row>
    <row r="50" spans="1:34" ht="15.75" thickBot="1" x14ac:dyDescent="0.3">
      <c r="A50" s="481" t="s">
        <v>102</v>
      </c>
      <c r="B50" s="482"/>
      <c r="C50" s="482"/>
      <c r="D50" s="482"/>
      <c r="E50" s="213"/>
      <c r="F50" s="213"/>
      <c r="G50" s="213"/>
      <c r="H50" s="213"/>
      <c r="I50" s="213"/>
      <c r="J50" s="213"/>
      <c r="K50" s="213"/>
      <c r="L50" s="65"/>
      <c r="M50" s="65">
        <f>SUM(M16:M49)</f>
        <v>34.25</v>
      </c>
      <c r="N50" s="65"/>
      <c r="O50" s="65"/>
      <c r="P50" s="65">
        <f>SUM(P16:P49)</f>
        <v>1813942.5</v>
      </c>
      <c r="Q50" s="65"/>
      <c r="R50" s="66">
        <f>SUM(R16:R49)</f>
        <v>0</v>
      </c>
      <c r="S50" s="66"/>
      <c r="T50" s="66">
        <f>SUM(T16:T49)</f>
        <v>181018.22000000003</v>
      </c>
      <c r="U50" s="66">
        <f>SUM(U21:U49)</f>
        <v>11.899999999999999</v>
      </c>
      <c r="V50" s="66">
        <f>SUM(V16:V49)</f>
        <v>263242.875</v>
      </c>
      <c r="W50" s="73">
        <f>SUM(W16:W49)</f>
        <v>2254443.0200000005</v>
      </c>
      <c r="X50" s="1"/>
      <c r="Z50" s="14" t="s">
        <v>103</v>
      </c>
      <c r="AA50" s="17">
        <f>SUM(AA16:AA49)</f>
        <v>11.75</v>
      </c>
      <c r="AB50" s="17">
        <f>SUM(AB16:AB49)</f>
        <v>482765.35</v>
      </c>
      <c r="AC50" s="3"/>
      <c r="AD50" s="14" t="s">
        <v>104</v>
      </c>
      <c r="AE50" s="17">
        <f>SUM(AE16:AE49)</f>
        <v>24</v>
      </c>
      <c r="AF50" s="17">
        <f>SUM(AF16:AF49)</f>
        <v>1702305.4299999995</v>
      </c>
      <c r="AH50" s="1"/>
    </row>
    <row r="51" spans="1:34" ht="15" x14ac:dyDescent="0.25">
      <c r="A51" s="77">
        <v>38</v>
      </c>
      <c r="B51" s="75" t="s">
        <v>105</v>
      </c>
      <c r="C51" s="76" t="s">
        <v>106</v>
      </c>
      <c r="D51" s="77" t="s">
        <v>35</v>
      </c>
      <c r="E51" s="77" t="s">
        <v>41</v>
      </c>
      <c r="F51" s="83"/>
      <c r="G51" s="83"/>
      <c r="H51" s="77">
        <v>1</v>
      </c>
      <c r="I51" s="84"/>
      <c r="J51" s="78"/>
      <c r="K51" s="74">
        <v>5</v>
      </c>
      <c r="L51" s="79">
        <v>17697</v>
      </c>
      <c r="M51" s="85">
        <v>1</v>
      </c>
      <c r="N51" s="85"/>
      <c r="O51" s="79">
        <v>2.1</v>
      </c>
      <c r="P51" s="79">
        <f t="shared" ref="P51:P63" si="21">L51*O51</f>
        <v>37163.700000000004</v>
      </c>
      <c r="Q51" s="80">
        <f>IF(G51&gt;0,25%,0)</f>
        <v>0</v>
      </c>
      <c r="R51" s="81">
        <f>ROUND((P51+T51)*Q51,2)</f>
        <v>0</v>
      </c>
      <c r="S51" s="82">
        <f>IF(H51&gt;0,10%,0)</f>
        <v>0.1</v>
      </c>
      <c r="T51" s="81">
        <f>ROUND(P51*S51*M51,2)</f>
        <v>3716.37</v>
      </c>
      <c r="U51" s="86">
        <v>0.3</v>
      </c>
      <c r="V51" s="53">
        <f t="shared" ref="V51:V56" si="22">L51*U51*M51</f>
        <v>5309.0999999999995</v>
      </c>
      <c r="W51" s="18">
        <f t="shared" ref="W51:W63" si="23">ROUND(P51*M51+R51+T51+V51,2)</f>
        <v>46189.17</v>
      </c>
      <c r="X51" s="222">
        <f t="shared" si="6"/>
        <v>46189.17</v>
      </c>
      <c r="Z51" s="19" t="str">
        <f t="shared" ref="Z51:Z63" si="24">B51</f>
        <v>Мукушева Г. Х.</v>
      </c>
      <c r="AA51" s="20">
        <f t="shared" ref="AA51:AA63" si="25">M51</f>
        <v>1</v>
      </c>
      <c r="AB51" s="20">
        <f t="shared" ref="AB51:AB63" si="26">W51</f>
        <v>46189.17</v>
      </c>
      <c r="AC51" s="217"/>
      <c r="AD51" s="19"/>
      <c r="AE51" s="21"/>
      <c r="AF51" s="20"/>
    </row>
    <row r="52" spans="1:34" ht="15" x14ac:dyDescent="0.25">
      <c r="A52" s="74">
        <v>39</v>
      </c>
      <c r="B52" s="75" t="s">
        <v>107</v>
      </c>
      <c r="C52" s="76" t="s">
        <v>106</v>
      </c>
      <c r="D52" s="77" t="s">
        <v>35</v>
      </c>
      <c r="E52" s="77" t="s">
        <v>41</v>
      </c>
      <c r="F52" s="83"/>
      <c r="G52" s="83"/>
      <c r="H52" s="77">
        <v>1</v>
      </c>
      <c r="I52" s="84"/>
      <c r="J52" s="78"/>
      <c r="K52" s="74">
        <v>5</v>
      </c>
      <c r="L52" s="79">
        <v>17697</v>
      </c>
      <c r="M52" s="85">
        <v>1</v>
      </c>
      <c r="N52" s="85"/>
      <c r="O52" s="79">
        <v>2.1</v>
      </c>
      <c r="P52" s="79">
        <f t="shared" si="21"/>
        <v>37163.700000000004</v>
      </c>
      <c r="Q52" s="80">
        <f>IF(G52&gt;0,25%,0)</f>
        <v>0</v>
      </c>
      <c r="R52" s="81">
        <f>ROUND((P52+T52)*Q52,2)</f>
        <v>0</v>
      </c>
      <c r="S52" s="82">
        <f t="shared" ref="S52:S63" si="27">IF(H52&gt;0,10%,0)</f>
        <v>0.1</v>
      </c>
      <c r="T52" s="81">
        <f>ROUND(P52*S52*M52,2)</f>
        <v>3716.37</v>
      </c>
      <c r="U52" s="86">
        <v>0.3</v>
      </c>
      <c r="V52" s="53">
        <f t="shared" si="22"/>
        <v>5309.0999999999995</v>
      </c>
      <c r="W52" s="18">
        <f t="shared" si="23"/>
        <v>46189.17</v>
      </c>
      <c r="X52" s="222">
        <f t="shared" si="6"/>
        <v>46189.17</v>
      </c>
      <c r="Z52" s="19" t="str">
        <f>B52</f>
        <v>Токсамбаева К.К.</v>
      </c>
      <c r="AA52" s="20">
        <f t="shared" si="25"/>
        <v>1</v>
      </c>
      <c r="AB52" s="20">
        <f t="shared" si="26"/>
        <v>46189.17</v>
      </c>
      <c r="AC52" s="217"/>
      <c r="AD52" s="19"/>
      <c r="AE52" s="21"/>
      <c r="AF52" s="20"/>
    </row>
    <row r="53" spans="1:34" ht="15" x14ac:dyDescent="0.25">
      <c r="A53" s="77">
        <v>40</v>
      </c>
      <c r="B53" s="75" t="s">
        <v>108</v>
      </c>
      <c r="C53" s="76" t="s">
        <v>109</v>
      </c>
      <c r="D53" s="77" t="s">
        <v>35</v>
      </c>
      <c r="E53" s="77" t="s">
        <v>41</v>
      </c>
      <c r="F53" s="83"/>
      <c r="G53" s="83"/>
      <c r="H53" s="77">
        <v>1</v>
      </c>
      <c r="I53" s="84"/>
      <c r="J53" s="78"/>
      <c r="K53" s="74">
        <v>2</v>
      </c>
      <c r="L53" s="79">
        <v>17697</v>
      </c>
      <c r="M53" s="85">
        <v>0.5</v>
      </c>
      <c r="N53" s="85"/>
      <c r="O53" s="79">
        <v>1.71</v>
      </c>
      <c r="P53" s="79">
        <f t="shared" si="21"/>
        <v>30261.87</v>
      </c>
      <c r="Q53" s="80">
        <f t="shared" ref="Q53:Q63" si="28">IF(G53&gt;0,25%,0)</f>
        <v>0</v>
      </c>
      <c r="R53" s="81">
        <f t="shared" ref="R53:R63" si="29">ROUND((P53+T53)*Q53,2)</f>
        <v>0</v>
      </c>
      <c r="S53" s="82">
        <f t="shared" si="27"/>
        <v>0.1</v>
      </c>
      <c r="T53" s="81">
        <f t="shared" ref="T53:T63" si="30">ROUND(P53*S53*M53,2)</f>
        <v>1513.09</v>
      </c>
      <c r="U53" s="86"/>
      <c r="V53" s="53"/>
      <c r="W53" s="18">
        <f t="shared" si="23"/>
        <v>16644.03</v>
      </c>
      <c r="X53" s="222">
        <f t="shared" si="6"/>
        <v>33288.06</v>
      </c>
      <c r="Z53" s="19" t="str">
        <f>B53</f>
        <v>Вакансия</v>
      </c>
      <c r="AA53" s="20">
        <f t="shared" si="25"/>
        <v>0.5</v>
      </c>
      <c r="AB53" s="20">
        <f t="shared" si="26"/>
        <v>16644.03</v>
      </c>
      <c r="AC53" s="217"/>
      <c r="AD53" s="19"/>
      <c r="AE53" s="21"/>
      <c r="AF53" s="20"/>
    </row>
    <row r="54" spans="1:34" ht="15" x14ac:dyDescent="0.25">
      <c r="A54" s="77">
        <v>41</v>
      </c>
      <c r="B54" s="75" t="s">
        <v>110</v>
      </c>
      <c r="C54" s="76" t="s">
        <v>111</v>
      </c>
      <c r="D54" s="77" t="s">
        <v>35</v>
      </c>
      <c r="E54" s="77" t="s">
        <v>41</v>
      </c>
      <c r="F54" s="83"/>
      <c r="G54" s="83"/>
      <c r="H54" s="77">
        <v>1</v>
      </c>
      <c r="I54" s="84"/>
      <c r="J54" s="78"/>
      <c r="K54" s="74">
        <v>3</v>
      </c>
      <c r="L54" s="79">
        <v>17697</v>
      </c>
      <c r="M54" s="85">
        <v>0.5</v>
      </c>
      <c r="N54" s="85"/>
      <c r="O54" s="79">
        <v>1.83</v>
      </c>
      <c r="P54" s="79">
        <f t="shared" si="21"/>
        <v>32385.510000000002</v>
      </c>
      <c r="Q54" s="80">
        <f t="shared" si="28"/>
        <v>0</v>
      </c>
      <c r="R54" s="81">
        <f t="shared" si="29"/>
        <v>0</v>
      </c>
      <c r="S54" s="82">
        <f t="shared" si="27"/>
        <v>0.1</v>
      </c>
      <c r="T54" s="81">
        <f t="shared" si="30"/>
        <v>1619.28</v>
      </c>
      <c r="U54" s="86"/>
      <c r="V54" s="53"/>
      <c r="W54" s="18">
        <f t="shared" si="23"/>
        <v>17812.04</v>
      </c>
      <c r="X54" s="222">
        <f t="shared" si="6"/>
        <v>35624.080000000002</v>
      </c>
      <c r="Z54" s="19" t="str">
        <f t="shared" si="24"/>
        <v>Гребенева О .Я.</v>
      </c>
      <c r="AA54" s="20">
        <f t="shared" si="25"/>
        <v>0.5</v>
      </c>
      <c r="AB54" s="20">
        <f t="shared" si="26"/>
        <v>17812.04</v>
      </c>
      <c r="AC54" s="3"/>
      <c r="AD54" s="19"/>
      <c r="AE54" s="21"/>
      <c r="AF54" s="20"/>
    </row>
    <row r="55" spans="1:34" ht="30" x14ac:dyDescent="0.25">
      <c r="A55" s="77">
        <v>42</v>
      </c>
      <c r="B55" s="75" t="str">
        <f>'[1]РАСЧЁТЫ по действующей сист16'!B101</f>
        <v>Бесенбаева Е.К.</v>
      </c>
      <c r="C55" s="87" t="s">
        <v>112</v>
      </c>
      <c r="D55" s="77" t="s">
        <v>35</v>
      </c>
      <c r="E55" s="77" t="s">
        <v>41</v>
      </c>
      <c r="F55" s="77"/>
      <c r="G55" s="77"/>
      <c r="H55" s="77">
        <v>1</v>
      </c>
      <c r="I55" s="84"/>
      <c r="J55" s="84"/>
      <c r="K55" s="77">
        <v>2</v>
      </c>
      <c r="L55" s="79">
        <v>17697</v>
      </c>
      <c r="M55" s="85">
        <v>1</v>
      </c>
      <c r="N55" s="85"/>
      <c r="O55" s="85">
        <v>1.71</v>
      </c>
      <c r="P55" s="79">
        <f t="shared" si="21"/>
        <v>30261.87</v>
      </c>
      <c r="Q55" s="80">
        <f t="shared" si="28"/>
        <v>0</v>
      </c>
      <c r="R55" s="81">
        <f t="shared" si="29"/>
        <v>0</v>
      </c>
      <c r="S55" s="82">
        <f t="shared" si="27"/>
        <v>0.1</v>
      </c>
      <c r="T55" s="81">
        <f t="shared" si="30"/>
        <v>3026.19</v>
      </c>
      <c r="U55" s="86">
        <v>0.3</v>
      </c>
      <c r="V55" s="53">
        <f t="shared" si="22"/>
        <v>5309.0999999999995</v>
      </c>
      <c r="W55" s="18">
        <f t="shared" si="23"/>
        <v>38597.160000000003</v>
      </c>
      <c r="X55" s="222">
        <f t="shared" si="6"/>
        <v>38597.160000000003</v>
      </c>
      <c r="Z55" s="19" t="str">
        <f t="shared" si="24"/>
        <v>Бесенбаева Е.К.</v>
      </c>
      <c r="AA55" s="20">
        <f t="shared" si="25"/>
        <v>1</v>
      </c>
      <c r="AB55" s="20">
        <f t="shared" si="26"/>
        <v>38597.160000000003</v>
      </c>
      <c r="AC55" s="3"/>
      <c r="AD55" s="19"/>
      <c r="AE55" s="21"/>
      <c r="AF55" s="20"/>
    </row>
    <row r="56" spans="1:34" ht="30" x14ac:dyDescent="0.25">
      <c r="A56" s="74">
        <v>43</v>
      </c>
      <c r="B56" s="75" t="s">
        <v>108</v>
      </c>
      <c r="C56" s="87" t="s">
        <v>113</v>
      </c>
      <c r="D56" s="77" t="s">
        <v>28</v>
      </c>
      <c r="E56" s="77" t="s">
        <v>41</v>
      </c>
      <c r="F56" s="77"/>
      <c r="G56" s="77"/>
      <c r="H56" s="77">
        <v>1</v>
      </c>
      <c r="I56" s="84"/>
      <c r="J56" s="84"/>
      <c r="K56" s="77">
        <v>2</v>
      </c>
      <c r="L56" s="79">
        <v>17697</v>
      </c>
      <c r="M56" s="85">
        <v>1</v>
      </c>
      <c r="N56" s="85"/>
      <c r="O56" s="77">
        <v>1.71</v>
      </c>
      <c r="P56" s="79">
        <f t="shared" si="21"/>
        <v>30261.87</v>
      </c>
      <c r="Q56" s="80">
        <f t="shared" si="28"/>
        <v>0</v>
      </c>
      <c r="R56" s="81">
        <f t="shared" si="29"/>
        <v>0</v>
      </c>
      <c r="S56" s="82">
        <f t="shared" si="27"/>
        <v>0.1</v>
      </c>
      <c r="T56" s="81">
        <f t="shared" si="30"/>
        <v>3026.19</v>
      </c>
      <c r="U56" s="86">
        <v>0.3</v>
      </c>
      <c r="V56" s="53">
        <f t="shared" si="22"/>
        <v>5309.0999999999995</v>
      </c>
      <c r="W56" s="18">
        <f t="shared" si="23"/>
        <v>38597.160000000003</v>
      </c>
      <c r="X56" s="222">
        <f t="shared" si="6"/>
        <v>38597.160000000003</v>
      </c>
      <c r="Z56" s="19" t="str">
        <f t="shared" si="24"/>
        <v>Вакансия</v>
      </c>
      <c r="AA56" s="20">
        <f t="shared" si="25"/>
        <v>1</v>
      </c>
      <c r="AB56" s="20">
        <f t="shared" si="26"/>
        <v>38597.160000000003</v>
      </c>
      <c r="AC56" s="3"/>
      <c r="AD56" s="19"/>
      <c r="AE56" s="21"/>
      <c r="AF56" s="20"/>
    </row>
    <row r="57" spans="1:34" ht="45" x14ac:dyDescent="0.25">
      <c r="A57" s="77">
        <v>44</v>
      </c>
      <c r="B57" s="75" t="str">
        <f>'[1]РАСЧЁТЫ по действующей сист16'!B113</f>
        <v>Бадажков В.</v>
      </c>
      <c r="C57" s="87" t="s">
        <v>114</v>
      </c>
      <c r="D57" s="77" t="s">
        <v>35</v>
      </c>
      <c r="E57" s="77" t="s">
        <v>41</v>
      </c>
      <c r="F57" s="77"/>
      <c r="G57" s="77"/>
      <c r="H57" s="77">
        <v>1</v>
      </c>
      <c r="I57" s="84"/>
      <c r="J57" s="84"/>
      <c r="K57" s="77">
        <v>2</v>
      </c>
      <c r="L57" s="79">
        <v>17697</v>
      </c>
      <c r="M57" s="85">
        <v>1</v>
      </c>
      <c r="N57" s="85"/>
      <c r="O57" s="77">
        <v>1.71</v>
      </c>
      <c r="P57" s="79">
        <f t="shared" si="21"/>
        <v>30261.87</v>
      </c>
      <c r="Q57" s="80">
        <f t="shared" si="28"/>
        <v>0</v>
      </c>
      <c r="R57" s="81">
        <f t="shared" si="29"/>
        <v>0</v>
      </c>
      <c r="S57" s="82">
        <f t="shared" si="27"/>
        <v>0.1</v>
      </c>
      <c r="T57" s="81">
        <f t="shared" si="30"/>
        <v>3026.19</v>
      </c>
      <c r="U57" s="86"/>
      <c r="V57" s="18"/>
      <c r="W57" s="18">
        <f t="shared" si="23"/>
        <v>33288.06</v>
      </c>
      <c r="X57" s="222">
        <f t="shared" si="6"/>
        <v>33288.06</v>
      </c>
      <c r="Z57" s="19" t="str">
        <f t="shared" si="24"/>
        <v>Бадажков В.</v>
      </c>
      <c r="AA57" s="20">
        <f t="shared" si="25"/>
        <v>1</v>
      </c>
      <c r="AB57" s="20">
        <f t="shared" si="26"/>
        <v>33288.06</v>
      </c>
      <c r="AC57" s="3"/>
      <c r="AD57" s="19"/>
      <c r="AE57" s="21"/>
      <c r="AF57" s="20"/>
    </row>
    <row r="58" spans="1:34" ht="15" x14ac:dyDescent="0.25">
      <c r="A58" s="74">
        <v>45</v>
      </c>
      <c r="B58" s="75" t="str">
        <f>'[1]РАСЧЁТЫ по действующей сист16'!B114</f>
        <v>Парада В.</v>
      </c>
      <c r="C58" s="87" t="s">
        <v>115</v>
      </c>
      <c r="D58" s="77" t="s">
        <v>35</v>
      </c>
      <c r="E58" s="77" t="s">
        <v>41</v>
      </c>
      <c r="F58" s="77"/>
      <c r="G58" s="77"/>
      <c r="H58" s="77">
        <v>1</v>
      </c>
      <c r="I58" s="84"/>
      <c r="J58" s="84"/>
      <c r="K58" s="77">
        <v>4</v>
      </c>
      <c r="L58" s="79">
        <v>17697</v>
      </c>
      <c r="M58" s="85">
        <v>1</v>
      </c>
      <c r="N58" s="85"/>
      <c r="O58" s="77">
        <v>1.96</v>
      </c>
      <c r="P58" s="79">
        <f t="shared" si="21"/>
        <v>34686.120000000003</v>
      </c>
      <c r="Q58" s="80">
        <f t="shared" si="28"/>
        <v>0</v>
      </c>
      <c r="R58" s="81">
        <f t="shared" si="29"/>
        <v>0</v>
      </c>
      <c r="S58" s="82">
        <f t="shared" si="27"/>
        <v>0.1</v>
      </c>
      <c r="T58" s="81">
        <f t="shared" si="30"/>
        <v>3468.61</v>
      </c>
      <c r="U58" s="86"/>
      <c r="V58" s="18"/>
      <c r="W58" s="18">
        <f t="shared" si="23"/>
        <v>38154.730000000003</v>
      </c>
      <c r="X58" s="222">
        <f t="shared" si="6"/>
        <v>38154.730000000003</v>
      </c>
      <c r="Z58" s="19" t="str">
        <f>B58</f>
        <v>Парада В.</v>
      </c>
      <c r="AA58" s="20">
        <f t="shared" si="25"/>
        <v>1</v>
      </c>
      <c r="AB58" s="20">
        <f t="shared" si="26"/>
        <v>38154.730000000003</v>
      </c>
      <c r="AC58" s="3"/>
      <c r="AD58" s="19"/>
      <c r="AE58" s="21"/>
      <c r="AF58" s="20"/>
    </row>
    <row r="59" spans="1:34" ht="15" x14ac:dyDescent="0.25">
      <c r="A59" s="74">
        <v>46</v>
      </c>
      <c r="B59" s="75" t="s">
        <v>116</v>
      </c>
      <c r="C59" s="87" t="s">
        <v>117</v>
      </c>
      <c r="D59" s="77" t="s">
        <v>28</v>
      </c>
      <c r="E59" s="77" t="s">
        <v>41</v>
      </c>
      <c r="F59" s="77"/>
      <c r="G59" s="77"/>
      <c r="H59" s="77">
        <v>1</v>
      </c>
      <c r="I59" s="84"/>
      <c r="J59" s="84"/>
      <c r="K59" s="77">
        <v>4</v>
      </c>
      <c r="L59" s="79">
        <v>17697</v>
      </c>
      <c r="M59" s="85">
        <v>0.5</v>
      </c>
      <c r="N59" s="85"/>
      <c r="O59" s="77">
        <v>1.96</v>
      </c>
      <c r="P59" s="79">
        <f t="shared" si="21"/>
        <v>34686.120000000003</v>
      </c>
      <c r="Q59" s="80">
        <f t="shared" si="28"/>
        <v>0</v>
      </c>
      <c r="R59" s="81">
        <f t="shared" si="29"/>
        <v>0</v>
      </c>
      <c r="S59" s="82">
        <f t="shared" si="27"/>
        <v>0.1</v>
      </c>
      <c r="T59" s="81">
        <f t="shared" si="30"/>
        <v>1734.31</v>
      </c>
      <c r="U59" s="86"/>
      <c r="V59" s="18"/>
      <c r="W59" s="18">
        <f t="shared" si="23"/>
        <v>19077.37</v>
      </c>
      <c r="X59" s="222">
        <f>P59/2</f>
        <v>17343.060000000001</v>
      </c>
      <c r="Z59" s="19" t="str">
        <f>B59</f>
        <v>Жайлауов А. М.</v>
      </c>
      <c r="AA59" s="20">
        <f t="shared" si="25"/>
        <v>0.5</v>
      </c>
      <c r="AB59" s="20">
        <f t="shared" si="26"/>
        <v>19077.37</v>
      </c>
      <c r="AC59" s="3"/>
      <c r="AD59" s="19"/>
      <c r="AE59" s="21"/>
      <c r="AF59" s="20"/>
    </row>
    <row r="60" spans="1:34" ht="15" x14ac:dyDescent="0.25">
      <c r="A60" s="77">
        <v>47</v>
      </c>
      <c r="B60" s="75" t="str">
        <f>'[1]РАСЧЁТЫ по действующей сист16'!B117</f>
        <v>Абуталипов Н.</v>
      </c>
      <c r="C60" s="88" t="s">
        <v>119</v>
      </c>
      <c r="D60" s="77" t="s">
        <v>118</v>
      </c>
      <c r="E60" s="77" t="s">
        <v>41</v>
      </c>
      <c r="F60" s="77"/>
      <c r="G60" s="77"/>
      <c r="H60" s="77">
        <v>1</v>
      </c>
      <c r="I60" s="84"/>
      <c r="J60" s="84"/>
      <c r="K60" s="77">
        <v>1</v>
      </c>
      <c r="L60" s="79">
        <v>17697</v>
      </c>
      <c r="M60" s="85">
        <v>1</v>
      </c>
      <c r="N60" s="85"/>
      <c r="O60" s="77">
        <v>1.6</v>
      </c>
      <c r="P60" s="79">
        <f t="shared" si="21"/>
        <v>28315.200000000001</v>
      </c>
      <c r="Q60" s="80">
        <f t="shared" si="28"/>
        <v>0</v>
      </c>
      <c r="R60" s="81">
        <f t="shared" si="29"/>
        <v>0</v>
      </c>
      <c r="S60" s="82">
        <f t="shared" si="27"/>
        <v>0.1</v>
      </c>
      <c r="T60" s="81">
        <f t="shared" si="30"/>
        <v>2831.52</v>
      </c>
      <c r="U60" s="86"/>
      <c r="V60" s="18">
        <v>8632.68</v>
      </c>
      <c r="W60" s="18">
        <f t="shared" si="23"/>
        <v>39779.4</v>
      </c>
      <c r="X60" s="222">
        <f t="shared" si="6"/>
        <v>39779.4</v>
      </c>
      <c r="Z60" s="19" t="str">
        <f t="shared" si="24"/>
        <v>Абуталипов Н.</v>
      </c>
      <c r="AA60" s="20">
        <f t="shared" si="25"/>
        <v>1</v>
      </c>
      <c r="AB60" s="20">
        <f t="shared" si="26"/>
        <v>39779.4</v>
      </c>
      <c r="AC60" s="22"/>
      <c r="AD60" s="19"/>
      <c r="AE60" s="21"/>
      <c r="AF60" s="20"/>
    </row>
    <row r="61" spans="1:34" ht="15" x14ac:dyDescent="0.25">
      <c r="A61" s="74">
        <v>48</v>
      </c>
      <c r="B61" s="75" t="str">
        <f>'[1]РАСЧЁТЫ по действующей сист16'!B118</f>
        <v>Медиев М.</v>
      </c>
      <c r="C61" s="88" t="s">
        <v>119</v>
      </c>
      <c r="D61" s="77" t="s">
        <v>118</v>
      </c>
      <c r="E61" s="77" t="s">
        <v>41</v>
      </c>
      <c r="F61" s="77"/>
      <c r="G61" s="77"/>
      <c r="H61" s="77">
        <v>1</v>
      </c>
      <c r="I61" s="84"/>
      <c r="J61" s="84"/>
      <c r="K61" s="77">
        <v>1</v>
      </c>
      <c r="L61" s="79">
        <v>17697</v>
      </c>
      <c r="M61" s="85">
        <v>1</v>
      </c>
      <c r="N61" s="85"/>
      <c r="O61" s="77">
        <v>1.6</v>
      </c>
      <c r="P61" s="79">
        <f t="shared" si="21"/>
        <v>28315.200000000001</v>
      </c>
      <c r="Q61" s="80">
        <f t="shared" si="28"/>
        <v>0</v>
      </c>
      <c r="R61" s="81">
        <f t="shared" si="29"/>
        <v>0</v>
      </c>
      <c r="S61" s="82">
        <f t="shared" si="27"/>
        <v>0.1</v>
      </c>
      <c r="T61" s="81">
        <f t="shared" si="30"/>
        <v>2831.52</v>
      </c>
      <c r="U61" s="86"/>
      <c r="V61" s="18">
        <v>8632.68</v>
      </c>
      <c r="W61" s="18">
        <f t="shared" si="23"/>
        <v>39779.4</v>
      </c>
      <c r="X61" s="222">
        <f t="shared" si="6"/>
        <v>39779.4</v>
      </c>
      <c r="Z61" s="19" t="str">
        <f t="shared" si="24"/>
        <v>Медиев М.</v>
      </c>
      <c r="AA61" s="20">
        <f t="shared" si="25"/>
        <v>1</v>
      </c>
      <c r="AB61" s="20">
        <f t="shared" si="26"/>
        <v>39779.4</v>
      </c>
      <c r="AC61" s="217"/>
      <c r="AD61" s="19"/>
      <c r="AE61" s="21"/>
      <c r="AF61" s="20"/>
    </row>
    <row r="62" spans="1:34" ht="15" x14ac:dyDescent="0.25">
      <c r="A62" s="77">
        <v>49</v>
      </c>
      <c r="B62" s="75" t="str">
        <f>'[1]РАСЧЁТЫ по действующей сист16'!B119</f>
        <v>Уралтаев С.</v>
      </c>
      <c r="C62" s="88" t="s">
        <v>119</v>
      </c>
      <c r="D62" s="77" t="s">
        <v>118</v>
      </c>
      <c r="E62" s="77" t="s">
        <v>41</v>
      </c>
      <c r="F62" s="77"/>
      <c r="G62" s="77"/>
      <c r="H62" s="77">
        <v>1</v>
      </c>
      <c r="I62" s="84"/>
      <c r="J62" s="84"/>
      <c r="K62" s="77">
        <v>1</v>
      </c>
      <c r="L62" s="79">
        <v>17697</v>
      </c>
      <c r="M62" s="85">
        <v>1</v>
      </c>
      <c r="N62" s="85"/>
      <c r="O62" s="77">
        <v>1.6</v>
      </c>
      <c r="P62" s="79">
        <f t="shared" si="21"/>
        <v>28315.200000000001</v>
      </c>
      <c r="Q62" s="80">
        <f t="shared" si="28"/>
        <v>0</v>
      </c>
      <c r="R62" s="81">
        <f t="shared" si="29"/>
        <v>0</v>
      </c>
      <c r="S62" s="82">
        <f t="shared" si="27"/>
        <v>0.1</v>
      </c>
      <c r="T62" s="81">
        <f t="shared" si="30"/>
        <v>2831.52</v>
      </c>
      <c r="U62" s="86"/>
      <c r="V62" s="18">
        <v>8632.68</v>
      </c>
      <c r="W62" s="18">
        <f t="shared" si="23"/>
        <v>39779.4</v>
      </c>
      <c r="X62" s="222">
        <f t="shared" si="6"/>
        <v>39779.4</v>
      </c>
      <c r="Z62" s="19" t="str">
        <f t="shared" si="24"/>
        <v>Уралтаев С.</v>
      </c>
      <c r="AA62" s="20">
        <f t="shared" si="25"/>
        <v>1</v>
      </c>
      <c r="AB62" s="20">
        <f t="shared" si="26"/>
        <v>39779.4</v>
      </c>
      <c r="AC62" s="217"/>
      <c r="AD62" s="19"/>
      <c r="AE62" s="21"/>
      <c r="AF62" s="20"/>
    </row>
    <row r="63" spans="1:34" ht="15.75" thickBot="1" x14ac:dyDescent="0.3">
      <c r="A63" s="74">
        <v>50</v>
      </c>
      <c r="B63" s="75" t="str">
        <f>'[1]РАСЧЁТЫ по действующей сист16'!B120</f>
        <v>Сипатов А.М.</v>
      </c>
      <c r="C63" s="89" t="s">
        <v>120</v>
      </c>
      <c r="D63" s="77" t="s">
        <v>118</v>
      </c>
      <c r="E63" s="77" t="s">
        <v>41</v>
      </c>
      <c r="F63" s="90"/>
      <c r="G63" s="90"/>
      <c r="H63" s="90">
        <v>1</v>
      </c>
      <c r="I63" s="91"/>
      <c r="J63" s="91"/>
      <c r="K63" s="90">
        <v>2</v>
      </c>
      <c r="L63" s="79">
        <v>17697</v>
      </c>
      <c r="M63" s="92">
        <v>1</v>
      </c>
      <c r="N63" s="92"/>
      <c r="O63" s="77">
        <v>1.71</v>
      </c>
      <c r="P63" s="79">
        <f t="shared" si="21"/>
        <v>30261.87</v>
      </c>
      <c r="Q63" s="80">
        <f t="shared" si="28"/>
        <v>0</v>
      </c>
      <c r="R63" s="81">
        <f t="shared" si="29"/>
        <v>0</v>
      </c>
      <c r="S63" s="82">
        <f t="shared" si="27"/>
        <v>0.1</v>
      </c>
      <c r="T63" s="81">
        <f t="shared" si="30"/>
        <v>3026.19</v>
      </c>
      <c r="U63" s="93"/>
      <c r="V63" s="94"/>
      <c r="W63" s="18">
        <f t="shared" si="23"/>
        <v>33288.06</v>
      </c>
      <c r="X63" s="222">
        <f t="shared" si="6"/>
        <v>33288.06</v>
      </c>
      <c r="Z63" s="19" t="str">
        <f t="shared" si="24"/>
        <v>Сипатов А.М.</v>
      </c>
      <c r="AA63" s="20">
        <f t="shared" si="25"/>
        <v>1</v>
      </c>
      <c r="AB63" s="20">
        <f t="shared" si="26"/>
        <v>33288.06</v>
      </c>
      <c r="AD63" s="19"/>
      <c r="AE63" s="21"/>
      <c r="AF63" s="20"/>
    </row>
    <row r="64" spans="1:34" ht="13.5" thickBot="1" x14ac:dyDescent="0.3">
      <c r="A64" s="483" t="s">
        <v>121</v>
      </c>
      <c r="B64" s="484"/>
      <c r="C64" s="484"/>
      <c r="D64" s="484"/>
      <c r="E64" s="214"/>
      <c r="F64" s="214"/>
      <c r="G64" s="214"/>
      <c r="H64" s="214"/>
      <c r="I64" s="214"/>
      <c r="J64" s="214"/>
      <c r="K64" s="214"/>
      <c r="L64" s="214"/>
      <c r="M64" s="96">
        <f>SUM(M51:M63)</f>
        <v>11.5</v>
      </c>
      <c r="N64" s="96"/>
      <c r="O64" s="96"/>
      <c r="P64" s="96">
        <f>SUM(P51:P63)</f>
        <v>412340.10000000003</v>
      </c>
      <c r="Q64" s="96">
        <f>SUM(Q51:Q63)</f>
        <v>0</v>
      </c>
      <c r="R64" s="96">
        <f>SUM(R51:R63)</f>
        <v>0</v>
      </c>
      <c r="S64" s="96"/>
      <c r="T64" s="96">
        <f>SUM(T51:T63)</f>
        <v>36367.350000000006</v>
      </c>
      <c r="U64" s="96">
        <f>SUM(U51:U63)</f>
        <v>1.2</v>
      </c>
      <c r="V64" s="96">
        <f>SUM(V51:V63)</f>
        <v>47134.439999999995</v>
      </c>
      <c r="W64" s="97">
        <f>ROUND(SUM(W51:W63),2)</f>
        <v>447175.15</v>
      </c>
      <c r="Z64" s="14" t="s">
        <v>122</v>
      </c>
      <c r="AA64" s="15">
        <f>SUM(AA51:AA63)</f>
        <v>11.5</v>
      </c>
      <c r="AB64" s="15">
        <f>SUM(AB51:AB63)</f>
        <v>447175.15000000008</v>
      </c>
      <c r="AC64" s="3"/>
      <c r="AD64" s="14" t="s">
        <v>123</v>
      </c>
      <c r="AE64" s="15">
        <f>SUM(AE51:AE63)</f>
        <v>0</v>
      </c>
      <c r="AF64" s="15">
        <f>SUM(AF51:AF63)</f>
        <v>0</v>
      </c>
    </row>
    <row r="65" spans="1:32" ht="13.5" thickBot="1" x14ac:dyDescent="0.3">
      <c r="A65" s="485" t="s">
        <v>124</v>
      </c>
      <c r="B65" s="486"/>
      <c r="C65" s="486"/>
      <c r="D65" s="486"/>
      <c r="E65" s="215"/>
      <c r="F65" s="215"/>
      <c r="G65" s="215"/>
      <c r="H65" s="215"/>
      <c r="I65" s="215"/>
      <c r="J65" s="215"/>
      <c r="K65" s="215"/>
      <c r="L65" s="215"/>
      <c r="M65" s="99">
        <f>M15+M50+M64</f>
        <v>48.25</v>
      </c>
      <c r="N65" s="99"/>
      <c r="O65" s="99"/>
      <c r="P65" s="99">
        <f>P15+P50+P64</f>
        <v>2414401.71</v>
      </c>
      <c r="Q65" s="99">
        <f>Q15+Q50+Q64</f>
        <v>0</v>
      </c>
      <c r="R65" s="99">
        <f>R15+R50+R64</f>
        <v>0</v>
      </c>
      <c r="S65" s="99"/>
      <c r="T65" s="99">
        <f>T15+T50+T64</f>
        <v>233286.33000000005</v>
      </c>
      <c r="U65" s="99">
        <f>U15+U50+U64</f>
        <v>13.399999999999999</v>
      </c>
      <c r="V65" s="99">
        <f>V15+V50+V64</f>
        <v>315686.41499999998</v>
      </c>
      <c r="W65" s="100">
        <f>ROUND(W15+W50+W64,2)</f>
        <v>2881835.58</v>
      </c>
      <c r="Z65" s="23" t="s">
        <v>125</v>
      </c>
      <c r="AA65" s="18">
        <f>AA15+AA50+AA64</f>
        <v>24.75</v>
      </c>
      <c r="AB65" s="18">
        <f>AB15+AB50+AB64</f>
        <v>1008683.31</v>
      </c>
      <c r="AC65" s="22"/>
      <c r="AD65" s="23" t="s">
        <v>126</v>
      </c>
      <c r="AE65" s="18">
        <f>AE15+AE50+AE64</f>
        <v>25</v>
      </c>
      <c r="AF65" s="18">
        <f>AF15+AF50+AF64</f>
        <v>1803780.0299999996</v>
      </c>
    </row>
    <row r="66" spans="1:32" x14ac:dyDescent="0.25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Z66" s="217"/>
      <c r="AA66" s="217"/>
      <c r="AB66" s="217"/>
      <c r="AC66" s="217"/>
      <c r="AD66" s="217"/>
      <c r="AE66" s="217"/>
      <c r="AF66" s="217"/>
    </row>
    <row r="67" spans="1:32" ht="15" x14ac:dyDescent="0.25">
      <c r="B67" s="217" t="s">
        <v>27</v>
      </c>
      <c r="C67" s="487"/>
      <c r="D67" s="487"/>
      <c r="E67" s="212"/>
      <c r="F67" s="211"/>
      <c r="G67" s="211"/>
      <c r="H67" s="211"/>
      <c r="K67" s="487" t="s">
        <v>127</v>
      </c>
      <c r="L67" s="487"/>
      <c r="M67" s="488"/>
      <c r="N67" s="24"/>
      <c r="O67" s="25"/>
      <c r="P67" s="2"/>
      <c r="Q67" s="2"/>
      <c r="R67" s="2"/>
      <c r="S67" s="2"/>
      <c r="T67" s="3"/>
      <c r="V67" s="1"/>
      <c r="W67" s="3"/>
      <c r="Z67" s="217"/>
      <c r="AA67" s="217"/>
      <c r="AB67" s="217"/>
      <c r="AC67" s="217"/>
      <c r="AD67" s="217"/>
      <c r="AE67" s="217"/>
      <c r="AF67" s="217"/>
    </row>
    <row r="68" spans="1:32" ht="15" x14ac:dyDescent="0.25">
      <c r="C68" s="478" t="s">
        <v>128</v>
      </c>
      <c r="D68" s="478"/>
      <c r="E68" s="478"/>
      <c r="F68" s="211"/>
      <c r="G68" s="211"/>
      <c r="H68" s="211"/>
      <c r="I68" s="216"/>
      <c r="J68" s="216"/>
      <c r="K68" s="479" t="s">
        <v>129</v>
      </c>
      <c r="L68" s="479"/>
      <c r="M68" s="480"/>
      <c r="O68" s="2"/>
      <c r="P68" s="2"/>
      <c r="Q68" s="2"/>
      <c r="R68" s="2"/>
      <c r="S68" s="2"/>
      <c r="T68" s="2"/>
      <c r="U68" s="2"/>
      <c r="V68" s="26"/>
      <c r="W68" s="3"/>
      <c r="Z68" s="22"/>
      <c r="AA68" s="22"/>
      <c r="AB68" s="22"/>
      <c r="AC68" s="22"/>
      <c r="AD68" s="489" t="s">
        <v>130</v>
      </c>
      <c r="AE68" s="18" t="s">
        <v>131</v>
      </c>
      <c r="AF68" s="18" t="s">
        <v>4</v>
      </c>
    </row>
    <row r="69" spans="1:32" x14ac:dyDescent="0.25">
      <c r="E69" s="216"/>
      <c r="F69" s="216"/>
      <c r="G69" s="216"/>
      <c r="H69" s="216"/>
      <c r="I69" s="216"/>
      <c r="J69" s="216"/>
      <c r="K69" s="211"/>
      <c r="L69" s="211"/>
      <c r="O69" s="2"/>
      <c r="P69" s="2"/>
      <c r="Q69" s="2"/>
      <c r="R69" s="2"/>
      <c r="S69" s="2"/>
      <c r="T69" s="3"/>
      <c r="U69" s="3"/>
      <c r="W69" s="3"/>
      <c r="Z69" s="217"/>
      <c r="AB69" s="3"/>
      <c r="AD69" s="489"/>
      <c r="AE69" s="21">
        <f>AA65+AE65</f>
        <v>49.75</v>
      </c>
      <c r="AF69" s="21">
        <f>AB65+AF65</f>
        <v>2812463.34</v>
      </c>
    </row>
    <row r="70" spans="1:32" ht="15" x14ac:dyDescent="0.25">
      <c r="B70" s="217" t="s">
        <v>40</v>
      </c>
      <c r="C70" s="487"/>
      <c r="D70" s="487"/>
      <c r="E70" s="212"/>
      <c r="F70" s="211"/>
      <c r="G70" s="211"/>
      <c r="H70" s="211"/>
      <c r="K70" s="487" t="s">
        <v>39</v>
      </c>
      <c r="L70" s="487"/>
      <c r="M70" s="488"/>
      <c r="W70" s="1"/>
      <c r="Z70" s="1"/>
      <c r="AA70" s="217"/>
      <c r="AB70" s="1"/>
      <c r="AC70" s="1"/>
      <c r="AD70" s="1"/>
      <c r="AE70" s="26"/>
      <c r="AF70" s="26"/>
    </row>
    <row r="71" spans="1:32" ht="15" x14ac:dyDescent="0.25">
      <c r="C71" s="478" t="s">
        <v>128</v>
      </c>
      <c r="D71" s="478"/>
      <c r="E71" s="478"/>
      <c r="F71" s="211"/>
      <c r="G71" s="211"/>
      <c r="H71" s="211"/>
      <c r="K71" s="479" t="s">
        <v>129</v>
      </c>
      <c r="L71" s="479"/>
      <c r="M71" s="480"/>
      <c r="T71" s="26"/>
      <c r="Z71" s="1"/>
      <c r="AA71" s="1"/>
      <c r="AB71" s="1"/>
      <c r="AC71" s="1"/>
      <c r="AD71" s="20" t="s">
        <v>132</v>
      </c>
      <c r="AE71" s="21">
        <f>M65</f>
        <v>48.25</v>
      </c>
      <c r="AF71" s="21">
        <f>W65</f>
        <v>2881835.58</v>
      </c>
    </row>
    <row r="72" spans="1:32" x14ac:dyDescent="0.25">
      <c r="B72" s="27"/>
      <c r="Z72" s="3"/>
      <c r="AA72" s="3"/>
      <c r="AB72" s="3"/>
      <c r="AC72" s="3"/>
      <c r="AD72" s="3"/>
      <c r="AE72" s="25"/>
      <c r="AF72" s="25"/>
    </row>
    <row r="73" spans="1:32" x14ac:dyDescent="0.25">
      <c r="B73" s="28" t="s">
        <v>133</v>
      </c>
      <c r="W73" s="1"/>
      <c r="Z73" s="25"/>
      <c r="AE73" s="3"/>
    </row>
    <row r="74" spans="1:32" x14ac:dyDescent="0.25">
      <c r="M74" s="1"/>
      <c r="P74" s="1"/>
      <c r="Q74" s="1"/>
      <c r="R74" s="1"/>
      <c r="S74" s="1"/>
      <c r="T74" s="1"/>
      <c r="AB74" s="3"/>
      <c r="AD74" s="20" t="s">
        <v>134</v>
      </c>
      <c r="AE74" s="21">
        <f>AE69-AE71</f>
        <v>1.5</v>
      </c>
      <c r="AF74" s="21">
        <f>AF69-AF71</f>
        <v>-69372.240000000224</v>
      </c>
    </row>
    <row r="75" spans="1:32" ht="18.75" x14ac:dyDescent="0.25">
      <c r="D75" s="1"/>
      <c r="E75" s="526" t="s">
        <v>211</v>
      </c>
      <c r="F75" s="527"/>
      <c r="G75" s="527"/>
      <c r="H75" s="527"/>
      <c r="I75" s="527"/>
      <c r="J75" s="527"/>
      <c r="K75" s="527"/>
      <c r="L75" s="527"/>
      <c r="M75" s="527"/>
      <c r="N75" s="527"/>
      <c r="O75" s="527"/>
    </row>
    <row r="76" spans="1:32" x14ac:dyDescent="0.25">
      <c r="I76" s="29"/>
      <c r="J76" s="29"/>
      <c r="M76" s="1"/>
    </row>
    <row r="77" spans="1:32" ht="15" x14ac:dyDescent="0.25">
      <c r="A77" s="34"/>
      <c r="B77" s="42" t="s">
        <v>171</v>
      </c>
      <c r="C77" s="56" t="s">
        <v>63</v>
      </c>
      <c r="D77" s="4" t="s">
        <v>28</v>
      </c>
      <c r="E77" s="4" t="s">
        <v>41</v>
      </c>
      <c r="F77" s="71"/>
      <c r="G77" s="71"/>
      <c r="H77" s="71" t="s">
        <v>65</v>
      </c>
      <c r="I77" s="12"/>
      <c r="J77" s="12" t="s">
        <v>37</v>
      </c>
      <c r="K77" s="5">
        <v>2</v>
      </c>
      <c r="L77" s="48">
        <v>17697</v>
      </c>
      <c r="M77" s="70">
        <v>0.5</v>
      </c>
      <c r="N77" s="48"/>
      <c r="O77" s="48">
        <v>3.08</v>
      </c>
      <c r="P77" s="48">
        <f t="shared" ref="P77:P84" si="31">L77*O77</f>
        <v>54506.76</v>
      </c>
      <c r="Q77" s="209">
        <f t="shared" ref="Q77:Q84" si="32">IF(G77&gt;0,25%,0)</f>
        <v>0</v>
      </c>
      <c r="R77" s="53">
        <f t="shared" ref="R77:R84" si="33">ROUND((P77+T77)*Q77,2)</f>
        <v>0</v>
      </c>
      <c r="S77" s="210">
        <f t="shared" ref="S77:S84" si="34">IF(H77&gt;0,10%,0)</f>
        <v>0.1</v>
      </c>
      <c r="T77" s="53">
        <f t="shared" ref="T77:T84" si="35">ROUND(P77*S77*M77,2)</f>
        <v>2725.34</v>
      </c>
      <c r="U77" s="55"/>
      <c r="V77" s="53">
        <f t="shared" ref="V77:V81" si="36">L77*U77*M77</f>
        <v>0</v>
      </c>
      <c r="W77" s="53">
        <f t="shared" ref="W77:W81" si="37">ROUND(P77*M77+T77+R77+V77,2)</f>
        <v>29978.720000000001</v>
      </c>
      <c r="X77" s="222"/>
    </row>
    <row r="78" spans="1:32" ht="15" x14ac:dyDescent="0.25">
      <c r="B78" s="42" t="s">
        <v>171</v>
      </c>
      <c r="C78" s="56" t="s">
        <v>78</v>
      </c>
      <c r="D78" s="4" t="s">
        <v>28</v>
      </c>
      <c r="E78" s="4" t="s">
        <v>41</v>
      </c>
      <c r="F78" s="71"/>
      <c r="G78" s="71"/>
      <c r="H78" s="71" t="s">
        <v>65</v>
      </c>
      <c r="I78" s="12" t="s">
        <v>48</v>
      </c>
      <c r="J78" s="12" t="s">
        <v>49</v>
      </c>
      <c r="K78" s="5">
        <v>4</v>
      </c>
      <c r="L78" s="48">
        <v>17697</v>
      </c>
      <c r="M78" s="70">
        <v>1</v>
      </c>
      <c r="N78" s="5"/>
      <c r="O78" s="48">
        <v>2.34</v>
      </c>
      <c r="P78" s="48">
        <f t="shared" si="31"/>
        <v>41410.979999999996</v>
      </c>
      <c r="Q78" s="49">
        <f t="shared" si="32"/>
        <v>0</v>
      </c>
      <c r="R78" s="50">
        <f t="shared" si="33"/>
        <v>0</v>
      </c>
      <c r="S78" s="51">
        <f t="shared" si="34"/>
        <v>0.1</v>
      </c>
      <c r="T78" s="50">
        <f t="shared" si="35"/>
        <v>4141.1000000000004</v>
      </c>
      <c r="U78" s="52">
        <v>0.4</v>
      </c>
      <c r="V78" s="53">
        <f t="shared" si="36"/>
        <v>7078.8</v>
      </c>
      <c r="W78" s="53">
        <f t="shared" si="37"/>
        <v>52630.879999999997</v>
      </c>
      <c r="X78" s="222"/>
    </row>
    <row r="79" spans="1:32" ht="15" x14ac:dyDescent="0.25">
      <c r="B79" s="46" t="s">
        <v>173</v>
      </c>
      <c r="C79" s="56" t="s">
        <v>54</v>
      </c>
      <c r="D79" s="34" t="s">
        <v>28</v>
      </c>
      <c r="E79" s="34" t="s">
        <v>41</v>
      </c>
      <c r="F79" s="34"/>
      <c r="G79" s="34"/>
      <c r="H79" s="34">
        <v>1</v>
      </c>
      <c r="I79" s="34" t="s">
        <v>48</v>
      </c>
      <c r="J79" s="34" t="s">
        <v>53</v>
      </c>
      <c r="K79" s="35">
        <v>4</v>
      </c>
      <c r="L79" s="68">
        <v>17697</v>
      </c>
      <c r="M79" s="69">
        <v>1</v>
      </c>
      <c r="N79" s="68"/>
      <c r="O79" s="68">
        <v>3.08</v>
      </c>
      <c r="P79" s="68">
        <f t="shared" si="31"/>
        <v>54506.76</v>
      </c>
      <c r="Q79" s="49">
        <f t="shared" si="32"/>
        <v>0</v>
      </c>
      <c r="R79" s="50">
        <f t="shared" si="33"/>
        <v>0</v>
      </c>
      <c r="S79" s="51">
        <f t="shared" si="34"/>
        <v>0.1</v>
      </c>
      <c r="T79" s="50">
        <f t="shared" si="35"/>
        <v>5450.68</v>
      </c>
      <c r="U79" s="52">
        <v>0.4</v>
      </c>
      <c r="V79" s="53">
        <f t="shared" si="36"/>
        <v>7078.8</v>
      </c>
      <c r="W79" s="50">
        <f t="shared" si="37"/>
        <v>67036.240000000005</v>
      </c>
      <c r="X79" s="222"/>
    </row>
    <row r="80" spans="1:32" ht="15" x14ac:dyDescent="0.25">
      <c r="B80" s="46" t="s">
        <v>175</v>
      </c>
      <c r="C80" s="56" t="s">
        <v>60</v>
      </c>
      <c r="D80" s="4" t="s">
        <v>28</v>
      </c>
      <c r="E80" s="4" t="s">
        <v>205</v>
      </c>
      <c r="F80" s="4"/>
      <c r="G80" s="4"/>
      <c r="H80" s="4">
        <v>1</v>
      </c>
      <c r="I80" s="34" t="s">
        <v>48</v>
      </c>
      <c r="J80" s="4" t="s">
        <v>53</v>
      </c>
      <c r="K80" s="5">
        <v>3</v>
      </c>
      <c r="L80" s="48">
        <v>17697</v>
      </c>
      <c r="M80" s="70">
        <v>1</v>
      </c>
      <c r="N80" s="48">
        <v>2</v>
      </c>
      <c r="O80" s="4">
        <v>3.79</v>
      </c>
      <c r="P80" s="68">
        <f t="shared" si="31"/>
        <v>67071.63</v>
      </c>
      <c r="Q80" s="49">
        <f t="shared" si="32"/>
        <v>0</v>
      </c>
      <c r="R80" s="50">
        <f t="shared" si="33"/>
        <v>0</v>
      </c>
      <c r="S80" s="51">
        <f t="shared" si="34"/>
        <v>0.1</v>
      </c>
      <c r="T80" s="50">
        <f t="shared" si="35"/>
        <v>6707.16</v>
      </c>
      <c r="U80" s="52">
        <v>0.4</v>
      </c>
      <c r="V80" s="53">
        <f t="shared" si="36"/>
        <v>7078.8</v>
      </c>
      <c r="W80" s="53">
        <f t="shared" si="37"/>
        <v>80857.59</v>
      </c>
      <c r="X80" s="222"/>
    </row>
    <row r="81" spans="2:24" ht="15" x14ac:dyDescent="0.25">
      <c r="B81" s="46" t="s">
        <v>177</v>
      </c>
      <c r="C81" s="56" t="s">
        <v>95</v>
      </c>
      <c r="D81" s="4" t="s">
        <v>35</v>
      </c>
      <c r="E81" s="71" t="s">
        <v>204</v>
      </c>
      <c r="F81" s="71"/>
      <c r="G81" s="71"/>
      <c r="H81" s="71" t="s">
        <v>65</v>
      </c>
      <c r="I81" s="12"/>
      <c r="J81" s="12"/>
      <c r="K81" s="5" t="s">
        <v>94</v>
      </c>
      <c r="L81" s="48">
        <v>17697</v>
      </c>
      <c r="M81" s="70">
        <v>1.25</v>
      </c>
      <c r="N81" s="71"/>
      <c r="O81" s="48">
        <v>1.8</v>
      </c>
      <c r="P81" s="48">
        <f t="shared" si="31"/>
        <v>31854.600000000002</v>
      </c>
      <c r="Q81" s="49">
        <f t="shared" si="32"/>
        <v>0</v>
      </c>
      <c r="R81" s="50">
        <f t="shared" si="33"/>
        <v>0</v>
      </c>
      <c r="S81" s="51">
        <f t="shared" si="34"/>
        <v>0.1</v>
      </c>
      <c r="T81" s="50">
        <f t="shared" si="35"/>
        <v>3981.83</v>
      </c>
      <c r="U81" s="52">
        <v>0.7</v>
      </c>
      <c r="V81" s="53">
        <f t="shared" si="36"/>
        <v>15484.875</v>
      </c>
      <c r="W81" s="53">
        <f t="shared" si="37"/>
        <v>59284.959999999999</v>
      </c>
      <c r="X81" s="222"/>
    </row>
    <row r="82" spans="2:24" ht="45" x14ac:dyDescent="0.25">
      <c r="B82" s="75" t="s">
        <v>179</v>
      </c>
      <c r="C82" s="87" t="s">
        <v>114</v>
      </c>
      <c r="D82" s="77" t="s">
        <v>35</v>
      </c>
      <c r="E82" s="77" t="s">
        <v>41</v>
      </c>
      <c r="F82" s="77"/>
      <c r="G82" s="77"/>
      <c r="H82" s="77">
        <v>1</v>
      </c>
      <c r="I82" s="84"/>
      <c r="J82" s="84"/>
      <c r="K82" s="77">
        <v>2</v>
      </c>
      <c r="L82" s="79">
        <v>17697</v>
      </c>
      <c r="M82" s="85">
        <v>1</v>
      </c>
      <c r="N82" s="85"/>
      <c r="O82" s="77">
        <v>1.71</v>
      </c>
      <c r="P82" s="79">
        <f t="shared" si="31"/>
        <v>30261.87</v>
      </c>
      <c r="Q82" s="80">
        <f t="shared" si="32"/>
        <v>0</v>
      </c>
      <c r="R82" s="81">
        <f t="shared" si="33"/>
        <v>0</v>
      </c>
      <c r="S82" s="82">
        <f t="shared" si="34"/>
        <v>0.1</v>
      </c>
      <c r="T82" s="81">
        <f t="shared" si="35"/>
        <v>3026.19</v>
      </c>
      <c r="U82" s="86"/>
      <c r="V82" s="18"/>
      <c r="W82" s="18">
        <f t="shared" ref="W82:W83" si="38">ROUND(P82*M82+R82+T82+V82,2)</f>
        <v>33288.06</v>
      </c>
      <c r="X82" s="222"/>
    </row>
    <row r="83" spans="2:24" ht="30" x14ac:dyDescent="0.25">
      <c r="B83" s="75" t="s">
        <v>203</v>
      </c>
      <c r="C83" s="87" t="s">
        <v>113</v>
      </c>
      <c r="D83" s="77" t="s">
        <v>28</v>
      </c>
      <c r="E83" s="77" t="s">
        <v>41</v>
      </c>
      <c r="F83" s="77"/>
      <c r="G83" s="77"/>
      <c r="H83" s="77">
        <v>1</v>
      </c>
      <c r="I83" s="84"/>
      <c r="J83" s="84"/>
      <c r="K83" s="77">
        <v>2</v>
      </c>
      <c r="L83" s="79">
        <v>17697</v>
      </c>
      <c r="M83" s="85">
        <v>1</v>
      </c>
      <c r="N83" s="85"/>
      <c r="O83" s="77">
        <v>1.71</v>
      </c>
      <c r="P83" s="79">
        <f t="shared" si="31"/>
        <v>30261.87</v>
      </c>
      <c r="Q83" s="80">
        <f t="shared" si="32"/>
        <v>0</v>
      </c>
      <c r="R83" s="81">
        <f t="shared" si="33"/>
        <v>0</v>
      </c>
      <c r="S83" s="82">
        <f t="shared" si="34"/>
        <v>0.1</v>
      </c>
      <c r="T83" s="81">
        <f t="shared" si="35"/>
        <v>3026.19</v>
      </c>
      <c r="U83" s="86">
        <v>0.3</v>
      </c>
      <c r="V83" s="53">
        <f t="shared" ref="V83:V84" si="39">L83*U83*M83</f>
        <v>5309.0999999999995</v>
      </c>
      <c r="W83" s="18">
        <f t="shared" si="38"/>
        <v>38597.160000000003</v>
      </c>
      <c r="X83" s="222"/>
    </row>
    <row r="84" spans="2:24" ht="15" x14ac:dyDescent="0.25">
      <c r="B84" s="46" t="s">
        <v>208</v>
      </c>
      <c r="C84" s="56" t="s">
        <v>209</v>
      </c>
      <c r="D84" s="4" t="s">
        <v>35</v>
      </c>
      <c r="E84" s="4" t="s">
        <v>210</v>
      </c>
      <c r="F84" s="71"/>
      <c r="G84" s="71"/>
      <c r="H84" s="71" t="s">
        <v>65</v>
      </c>
      <c r="I84" s="12" t="s">
        <v>48</v>
      </c>
      <c r="J84" s="12" t="s">
        <v>49</v>
      </c>
      <c r="K84" s="5">
        <v>4</v>
      </c>
      <c r="L84" s="48">
        <v>17697</v>
      </c>
      <c r="M84" s="70">
        <v>1</v>
      </c>
      <c r="N84" s="48"/>
      <c r="O84" s="48">
        <v>2.63</v>
      </c>
      <c r="P84" s="48">
        <f t="shared" si="31"/>
        <v>46543.11</v>
      </c>
      <c r="Q84" s="49">
        <f t="shared" si="32"/>
        <v>0</v>
      </c>
      <c r="R84" s="50">
        <f t="shared" si="33"/>
        <v>0</v>
      </c>
      <c r="S84" s="51">
        <f t="shared" si="34"/>
        <v>0.1</v>
      </c>
      <c r="T84" s="50">
        <f t="shared" si="35"/>
        <v>4654.3100000000004</v>
      </c>
      <c r="U84" s="52">
        <v>0.4</v>
      </c>
      <c r="V84" s="53">
        <f t="shared" si="39"/>
        <v>7078.8</v>
      </c>
      <c r="W84" s="53">
        <f t="shared" ref="W84" si="40">ROUND(P84*M84+T84+R84+V84,2)</f>
        <v>58276.22</v>
      </c>
      <c r="X84" s="222"/>
    </row>
    <row r="86" spans="2:24" x14ac:dyDescent="0.25"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2"/>
      <c r="O86" s="22"/>
    </row>
    <row r="87" spans="2:24" ht="15" x14ac:dyDescent="0.25">
      <c r="B87" s="221"/>
      <c r="C87" s="221" t="s">
        <v>27</v>
      </c>
      <c r="D87" s="487"/>
      <c r="E87" s="487"/>
      <c r="F87" s="219"/>
      <c r="G87" s="218"/>
      <c r="H87" s="218"/>
      <c r="I87" s="218"/>
      <c r="J87" s="221"/>
      <c r="K87" s="221"/>
      <c r="L87" s="487" t="s">
        <v>127</v>
      </c>
      <c r="M87" s="487"/>
      <c r="N87" s="488"/>
      <c r="O87" s="24"/>
    </row>
    <row r="88" spans="2:24" ht="15" x14ac:dyDescent="0.25">
      <c r="B88" s="221"/>
      <c r="C88" s="221"/>
      <c r="D88" s="478" t="s">
        <v>128</v>
      </c>
      <c r="E88" s="478"/>
      <c r="F88" s="478"/>
      <c r="G88" s="218"/>
      <c r="H88" s="218"/>
      <c r="I88" s="218"/>
      <c r="J88" s="220"/>
      <c r="K88" s="220"/>
      <c r="L88" s="479" t="s">
        <v>129</v>
      </c>
      <c r="M88" s="479"/>
      <c r="N88" s="480"/>
      <c r="O88" s="220"/>
    </row>
    <row r="89" spans="2:24" x14ac:dyDescent="0.25">
      <c r="B89" s="221"/>
      <c r="C89" s="221"/>
      <c r="D89" s="220"/>
      <c r="E89" s="221"/>
      <c r="F89" s="220"/>
      <c r="G89" s="220"/>
      <c r="H89" s="220"/>
      <c r="I89" s="220"/>
      <c r="J89" s="220"/>
      <c r="K89" s="220"/>
      <c r="L89" s="218"/>
      <c r="M89" s="218"/>
      <c r="N89" s="221"/>
      <c r="O89" s="220"/>
    </row>
    <row r="90" spans="2:24" ht="15" x14ac:dyDescent="0.25">
      <c r="B90" s="221"/>
      <c r="C90" s="221" t="s">
        <v>40</v>
      </c>
      <c r="D90" s="487"/>
      <c r="E90" s="487"/>
      <c r="F90" s="219"/>
      <c r="G90" s="218"/>
      <c r="H90" s="218"/>
      <c r="I90" s="218"/>
      <c r="J90" s="221"/>
      <c r="K90" s="221"/>
      <c r="L90" s="487" t="s">
        <v>169</v>
      </c>
      <c r="M90" s="487"/>
      <c r="N90" s="488"/>
      <c r="O90" s="220"/>
    </row>
    <row r="91" spans="2:24" ht="15" x14ac:dyDescent="0.25">
      <c r="B91" s="221"/>
      <c r="C91" s="221"/>
      <c r="D91" s="478" t="s">
        <v>128</v>
      </c>
      <c r="E91" s="478"/>
      <c r="F91" s="478"/>
      <c r="G91" s="218"/>
      <c r="H91" s="218"/>
      <c r="I91" s="218"/>
      <c r="J91" s="221"/>
      <c r="K91" s="221"/>
      <c r="L91" s="479" t="s">
        <v>129</v>
      </c>
      <c r="M91" s="479"/>
      <c r="N91" s="480"/>
      <c r="O91" s="220"/>
    </row>
    <row r="92" spans="2:24" x14ac:dyDescent="0.25">
      <c r="B92" s="221"/>
      <c r="C92" s="27"/>
      <c r="D92" s="220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0"/>
    </row>
    <row r="93" spans="2:24" x14ac:dyDescent="0.25">
      <c r="B93" s="221"/>
      <c r="C93" s="28" t="s">
        <v>133</v>
      </c>
      <c r="D93" s="220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0"/>
    </row>
    <row r="96" spans="2:24" ht="15" x14ac:dyDescent="0.25">
      <c r="B96" s="42" t="s">
        <v>171</v>
      </c>
      <c r="C96" s="56" t="s">
        <v>63</v>
      </c>
      <c r="D96" s="4" t="s">
        <v>28</v>
      </c>
      <c r="E96" s="4" t="s">
        <v>205</v>
      </c>
      <c r="F96" s="71"/>
      <c r="G96" s="71"/>
      <c r="H96" s="71" t="s">
        <v>65</v>
      </c>
      <c r="I96" s="12"/>
      <c r="J96" s="12" t="s">
        <v>37</v>
      </c>
      <c r="K96" s="5">
        <v>2</v>
      </c>
      <c r="L96" s="48">
        <v>17697</v>
      </c>
      <c r="M96" s="70">
        <v>0.5</v>
      </c>
      <c r="N96" s="48"/>
      <c r="O96" s="48">
        <v>3.45</v>
      </c>
      <c r="P96" s="48">
        <f t="shared" ref="P96" si="41">L96*O96</f>
        <v>61054.65</v>
      </c>
      <c r="Q96" s="209">
        <f t="shared" ref="Q96" si="42">IF(G96&gt;0,25%,0)</f>
        <v>0</v>
      </c>
      <c r="R96" s="53">
        <f t="shared" ref="R96" si="43">ROUND((P96+T96)*Q96,2)</f>
        <v>0</v>
      </c>
      <c r="S96" s="210">
        <f t="shared" ref="S96" si="44">IF(H96&gt;0,10%,0)</f>
        <v>0.1</v>
      </c>
      <c r="T96" s="53">
        <f t="shared" ref="T96" si="45">ROUND(P96*S96*M96,2)</f>
        <v>3052.73</v>
      </c>
      <c r="U96" s="55"/>
      <c r="V96" s="53">
        <f t="shared" ref="V96" si="46">L96*U96*M96</f>
        <v>0</v>
      </c>
      <c r="W96" s="53">
        <f t="shared" ref="W96" si="47">ROUND(P96*M96+T96+R96+V96,2)</f>
        <v>33580.06</v>
      </c>
    </row>
  </sheetData>
  <mergeCells count="57">
    <mergeCell ref="D90:E90"/>
    <mergeCell ref="L90:N90"/>
    <mergeCell ref="D91:F91"/>
    <mergeCell ref="L91:N91"/>
    <mergeCell ref="E75:O75"/>
    <mergeCell ref="D87:E87"/>
    <mergeCell ref="L87:N87"/>
    <mergeCell ref="D88:F88"/>
    <mergeCell ref="L88:N88"/>
    <mergeCell ref="AE7:AE8"/>
    <mergeCell ref="C68:E68"/>
    <mergeCell ref="K68:M68"/>
    <mergeCell ref="AD68:AD69"/>
    <mergeCell ref="C70:D70"/>
    <mergeCell ref="K70:M70"/>
    <mergeCell ref="M7:M8"/>
    <mergeCell ref="U7:V7"/>
    <mergeCell ref="Q7:R7"/>
    <mergeCell ref="S7:T7"/>
    <mergeCell ref="N7:N8"/>
    <mergeCell ref="C71:E71"/>
    <mergeCell ref="K71:M71"/>
    <mergeCell ref="AF7:AF8"/>
    <mergeCell ref="A15:D15"/>
    <mergeCell ref="A50:D50"/>
    <mergeCell ref="A64:D64"/>
    <mergeCell ref="A65:D65"/>
    <mergeCell ref="C67:D67"/>
    <mergeCell ref="K67:M67"/>
    <mergeCell ref="W7:W8"/>
    <mergeCell ref="Z7:Z8"/>
    <mergeCell ref="AA7:AA8"/>
    <mergeCell ref="AB7:AB8"/>
    <mergeCell ref="AD7:AD8"/>
    <mergeCell ref="O7:O8"/>
    <mergeCell ref="P7:P8"/>
    <mergeCell ref="AD5:AD6"/>
    <mergeCell ref="AE5:AE6"/>
    <mergeCell ref="AF5:AF6"/>
    <mergeCell ref="A7:A8"/>
    <mergeCell ref="B7:B8"/>
    <mergeCell ref="C7:C8"/>
    <mergeCell ref="D7:D8"/>
    <mergeCell ref="E7:E8"/>
    <mergeCell ref="F7:F8"/>
    <mergeCell ref="G7:G8"/>
    <mergeCell ref="AB5:AB6"/>
    <mergeCell ref="H7:H8"/>
    <mergeCell ref="I7:I8"/>
    <mergeCell ref="J7:J8"/>
    <mergeCell ref="K7:K8"/>
    <mergeCell ref="L7:L8"/>
    <mergeCell ref="A2:W2"/>
    <mergeCell ref="A3:W3"/>
    <mergeCell ref="S5:T5"/>
    <mergeCell ref="Z5:Z6"/>
    <mergeCell ref="AA5:AA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97"/>
  <sheetViews>
    <sheetView workbookViewId="0">
      <selection activeCell="W16" sqref="W16"/>
    </sheetView>
  </sheetViews>
  <sheetFormatPr defaultRowHeight="12.75" x14ac:dyDescent="0.25"/>
  <cols>
    <col min="1" max="1" width="3.7109375" style="255" customWidth="1"/>
    <col min="2" max="2" width="19.85546875" style="255" customWidth="1"/>
    <col min="3" max="3" width="20.140625" style="254" customWidth="1"/>
    <col min="4" max="4" width="11.140625" style="255" customWidth="1"/>
    <col min="5" max="5" width="12.28515625" style="255" customWidth="1"/>
    <col min="6" max="6" width="6.28515625" style="255" customWidth="1"/>
    <col min="7" max="7" width="4.42578125" style="255" hidden="1" customWidth="1"/>
    <col min="8" max="8" width="7" style="255" customWidth="1"/>
    <col min="9" max="9" width="6" style="255" customWidth="1"/>
    <col min="10" max="10" width="6.85546875" style="255" customWidth="1"/>
    <col min="11" max="11" width="5.140625" style="255" customWidth="1"/>
    <col min="12" max="12" width="10.7109375" style="255" customWidth="1"/>
    <col min="13" max="13" width="7.7109375" style="255" customWidth="1"/>
    <col min="14" max="14" width="6.28515625" style="254" customWidth="1"/>
    <col min="15" max="15" width="6.7109375" style="255" customWidth="1"/>
    <col min="16" max="16" width="13.85546875" style="255" customWidth="1"/>
    <col min="17" max="17" width="0.85546875" style="255" hidden="1" customWidth="1"/>
    <col min="18" max="18" width="0.42578125" style="255" hidden="1" customWidth="1"/>
    <col min="19" max="19" width="8.28515625" style="255" customWidth="1"/>
    <col min="20" max="20" width="13.7109375" style="255" customWidth="1"/>
    <col min="21" max="21" width="9.42578125" style="255" customWidth="1"/>
    <col min="22" max="22" width="16.42578125" style="255" customWidth="1"/>
    <col min="23" max="23" width="14.5703125" style="255" customWidth="1"/>
    <col min="24" max="24" width="14.140625" style="255" customWidth="1"/>
    <col min="25" max="25" width="9.140625" style="255" customWidth="1"/>
    <col min="26" max="26" width="41.85546875" style="2" hidden="1" customWidth="1"/>
    <col min="27" max="27" width="9.28515625" style="2" hidden="1" customWidth="1"/>
    <col min="28" max="28" width="14" style="2" hidden="1" customWidth="1"/>
    <col min="29" max="29" width="0" style="2" hidden="1" customWidth="1"/>
    <col min="30" max="30" width="41.42578125" style="2" hidden="1" customWidth="1"/>
    <col min="31" max="31" width="9.28515625" style="2" hidden="1" customWidth="1"/>
    <col min="32" max="32" width="13.7109375" style="2" hidden="1" customWidth="1"/>
    <col min="33" max="33" width="9.140625" style="255"/>
    <col min="34" max="34" width="11.7109375" style="255" bestFit="1" customWidth="1"/>
    <col min="35" max="35" width="9.140625" style="255"/>
    <col min="36" max="41" width="9.140625" style="255" customWidth="1"/>
    <col min="42" max="42" width="11.28515625" style="255" bestFit="1" customWidth="1"/>
    <col min="43" max="16384" width="9.140625" style="255"/>
  </cols>
  <sheetData>
    <row r="1" spans="1:43" ht="9.75" customHeight="1" x14ac:dyDescent="0.25">
      <c r="U1" s="1"/>
    </row>
    <row r="2" spans="1:43" ht="16.5" customHeight="1" x14ac:dyDescent="0.25">
      <c r="A2" s="467" t="s">
        <v>251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43" ht="13.5" customHeight="1" x14ac:dyDescent="0.2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Z3" s="255"/>
      <c r="AA3" s="255"/>
      <c r="AB3" s="255"/>
      <c r="AC3" s="255"/>
      <c r="AD3" s="255"/>
      <c r="AE3" s="255"/>
      <c r="AF3" s="255"/>
    </row>
    <row r="4" spans="1:43" ht="13.5" customHeight="1" x14ac:dyDescent="0.25">
      <c r="N4" s="255"/>
    </row>
    <row r="5" spans="1:43" ht="13.5" customHeight="1" x14ac:dyDescent="0.25">
      <c r="N5" s="255"/>
      <c r="S5" s="469"/>
      <c r="T5" s="469"/>
      <c r="Z5" s="470" t="s">
        <v>2</v>
      </c>
      <c r="AA5" s="470" t="s">
        <v>3</v>
      </c>
      <c r="AB5" s="470" t="s">
        <v>4</v>
      </c>
      <c r="AC5" s="254"/>
      <c r="AD5" s="470" t="s">
        <v>2</v>
      </c>
      <c r="AE5" s="470" t="s">
        <v>3</v>
      </c>
      <c r="AF5" s="470" t="s">
        <v>4</v>
      </c>
      <c r="AG5" s="254"/>
      <c r="AH5" s="254"/>
      <c r="AI5" s="254"/>
    </row>
    <row r="6" spans="1:43" ht="13.5" customHeight="1" thickBot="1" x14ac:dyDescent="0.3">
      <c r="N6" s="255"/>
      <c r="Z6" s="471"/>
      <c r="AA6" s="471"/>
      <c r="AB6" s="471"/>
      <c r="AD6" s="471"/>
      <c r="AE6" s="471"/>
      <c r="AF6" s="471"/>
      <c r="AG6" s="254"/>
      <c r="AH6" s="254"/>
      <c r="AI6" s="254"/>
    </row>
    <row r="7" spans="1:43" s="254" customFormat="1" ht="41.25" customHeight="1" thickBot="1" x14ac:dyDescent="0.3">
      <c r="A7" s="472" t="s">
        <v>5</v>
      </c>
      <c r="B7" s="472" t="s">
        <v>6</v>
      </c>
      <c r="C7" s="472" t="s">
        <v>7</v>
      </c>
      <c r="D7" s="472" t="s">
        <v>8</v>
      </c>
      <c r="E7" s="472" t="s">
        <v>9</v>
      </c>
      <c r="F7" s="474" t="s">
        <v>10</v>
      </c>
      <c r="G7" s="474" t="s">
        <v>11</v>
      </c>
      <c r="H7" s="474" t="s">
        <v>12</v>
      </c>
      <c r="I7" s="476" t="s">
        <v>13</v>
      </c>
      <c r="J7" s="476" t="s">
        <v>14</v>
      </c>
      <c r="K7" s="476" t="s">
        <v>15</v>
      </c>
      <c r="L7" s="472" t="s">
        <v>16</v>
      </c>
      <c r="M7" s="472" t="s">
        <v>17</v>
      </c>
      <c r="N7" s="472" t="s">
        <v>10</v>
      </c>
      <c r="O7" s="472" t="s">
        <v>18</v>
      </c>
      <c r="P7" s="472" t="s">
        <v>19</v>
      </c>
      <c r="Q7" s="490" t="s">
        <v>20</v>
      </c>
      <c r="R7" s="492"/>
      <c r="S7" s="493" t="s">
        <v>21</v>
      </c>
      <c r="T7" s="494"/>
      <c r="U7" s="490" t="s">
        <v>22</v>
      </c>
      <c r="V7" s="491"/>
      <c r="W7" s="472" t="s">
        <v>23</v>
      </c>
      <c r="Z7" s="470" t="s">
        <v>2</v>
      </c>
      <c r="AA7" s="470" t="s">
        <v>3</v>
      </c>
      <c r="AB7" s="470" t="s">
        <v>4</v>
      </c>
      <c r="AC7" s="3"/>
      <c r="AD7" s="470" t="s">
        <v>2</v>
      </c>
      <c r="AE7" s="470" t="s">
        <v>3</v>
      </c>
      <c r="AF7" s="470" t="s">
        <v>4</v>
      </c>
      <c r="AG7" s="255"/>
      <c r="AH7" s="255"/>
      <c r="AI7" s="255"/>
    </row>
    <row r="8" spans="1:43" s="254" customFormat="1" ht="94.5" customHeight="1" thickBot="1" x14ac:dyDescent="0.3">
      <c r="A8" s="473"/>
      <c r="B8" s="473"/>
      <c r="C8" s="473"/>
      <c r="D8" s="473"/>
      <c r="E8" s="473"/>
      <c r="F8" s="475"/>
      <c r="G8" s="475"/>
      <c r="H8" s="475"/>
      <c r="I8" s="477"/>
      <c r="J8" s="477"/>
      <c r="K8" s="477"/>
      <c r="L8" s="473"/>
      <c r="M8" s="473"/>
      <c r="N8" s="473"/>
      <c r="O8" s="473"/>
      <c r="P8" s="473"/>
      <c r="Q8" s="41" t="s">
        <v>24</v>
      </c>
      <c r="R8" s="41" t="s">
        <v>25</v>
      </c>
      <c r="S8" s="41" t="s">
        <v>24</v>
      </c>
      <c r="T8" s="41" t="s">
        <v>25</v>
      </c>
      <c r="U8" s="41" t="s">
        <v>24</v>
      </c>
      <c r="V8" s="41" t="s">
        <v>25</v>
      </c>
      <c r="W8" s="473"/>
      <c r="Z8" s="471"/>
      <c r="AA8" s="471"/>
      <c r="AB8" s="471"/>
      <c r="AC8" s="2"/>
      <c r="AD8" s="471"/>
      <c r="AE8" s="471"/>
      <c r="AF8" s="471"/>
      <c r="AG8" s="255"/>
      <c r="AH8" s="255"/>
      <c r="AI8" s="255"/>
    </row>
    <row r="9" spans="1:43" s="6" customFormat="1" ht="15" customHeight="1" x14ac:dyDescent="0.25">
      <c r="A9" s="4">
        <v>1</v>
      </c>
      <c r="B9" s="42" t="s">
        <v>26</v>
      </c>
      <c r="C9" s="43" t="s">
        <v>27</v>
      </c>
      <c r="D9" s="4" t="s">
        <v>28</v>
      </c>
      <c r="E9" s="44" t="s">
        <v>231</v>
      </c>
      <c r="F9" s="45"/>
      <c r="G9" s="46"/>
      <c r="H9" s="34">
        <v>1</v>
      </c>
      <c r="I9" s="47" t="s">
        <v>30</v>
      </c>
      <c r="J9" s="47" t="s">
        <v>31</v>
      </c>
      <c r="K9" s="5">
        <v>3</v>
      </c>
      <c r="L9" s="48">
        <v>17697</v>
      </c>
      <c r="M9" s="48">
        <v>1</v>
      </c>
      <c r="N9" s="48"/>
      <c r="O9" s="4">
        <v>4.9400000000000004</v>
      </c>
      <c r="P9" s="48">
        <f>O9*L9</f>
        <v>87423.180000000008</v>
      </c>
      <c r="Q9" s="49">
        <f>IF(G9&gt;0,25%,0)</f>
        <v>0</v>
      </c>
      <c r="R9" s="50">
        <f t="shared" ref="R9:R14" si="0">ROUND((P9+T9)*Q9,2)</f>
        <v>0</v>
      </c>
      <c r="S9" s="51">
        <f t="shared" ref="S9:S14" si="1">IF(H9&gt;0,10%,0)</f>
        <v>0.1</v>
      </c>
      <c r="T9" s="50">
        <f t="shared" ref="T9:T14" si="2">ROUND(P9*S9*M9,2)</f>
        <v>8742.32</v>
      </c>
      <c r="U9" s="52">
        <v>0.3</v>
      </c>
      <c r="V9" s="53">
        <f t="shared" ref="V9" si="3">L9*U9*M9</f>
        <v>5309.0999999999995</v>
      </c>
      <c r="W9" s="53">
        <f t="shared" ref="W9:W49" si="4">ROUND(P9*M9+T9+R9+V9,2)</f>
        <v>101474.6</v>
      </c>
      <c r="X9" s="222">
        <f>W9/M9</f>
        <v>101474.6</v>
      </c>
      <c r="Z9" s="7"/>
      <c r="AA9" s="8"/>
      <c r="AB9" s="8"/>
      <c r="AC9" s="9"/>
      <c r="AD9" s="7" t="str">
        <f>B7:B9</f>
        <v>Юсупова А.Е.</v>
      </c>
      <c r="AE9" s="8">
        <f>M9</f>
        <v>1</v>
      </c>
      <c r="AF9" s="8">
        <f>W9</f>
        <v>101474.6</v>
      </c>
      <c r="AP9" s="10"/>
      <c r="AQ9" s="11">
        <f>P9+T9+R9+V9</f>
        <v>101474.6</v>
      </c>
    </row>
    <row r="10" spans="1:43" s="6" customFormat="1" ht="15" hidden="1" customHeight="1" x14ac:dyDescent="0.25">
      <c r="A10" s="4">
        <v>2</v>
      </c>
      <c r="B10" s="42">
        <f>'[1]РАСЧЁТЫ по действующей сист16'!B10</f>
        <v>0</v>
      </c>
      <c r="C10" s="43" t="s">
        <v>32</v>
      </c>
      <c r="D10" s="4"/>
      <c r="E10" s="44"/>
      <c r="F10" s="44"/>
      <c r="G10" s="54"/>
      <c r="H10" s="54"/>
      <c r="I10" s="47"/>
      <c r="J10" s="4"/>
      <c r="K10" s="5">
        <v>3</v>
      </c>
      <c r="L10" s="48">
        <v>17697</v>
      </c>
      <c r="M10" s="48"/>
      <c r="N10" s="48"/>
      <c r="O10" s="48"/>
      <c r="P10" s="48">
        <f>O10*L10</f>
        <v>0</v>
      </c>
      <c r="Q10" s="49">
        <f t="shared" ref="Q10:Q49" si="5">IF(G10&gt;0,25%,0)</f>
        <v>0</v>
      </c>
      <c r="R10" s="50">
        <f t="shared" si="0"/>
        <v>0</v>
      </c>
      <c r="S10" s="51">
        <f t="shared" si="1"/>
        <v>0</v>
      </c>
      <c r="T10" s="50">
        <f t="shared" si="2"/>
        <v>0</v>
      </c>
      <c r="U10" s="55"/>
      <c r="V10" s="53"/>
      <c r="W10" s="53">
        <f t="shared" si="4"/>
        <v>0</v>
      </c>
      <c r="X10" s="222" t="e">
        <f t="shared" ref="X10:X64" si="6">W10/M10</f>
        <v>#DIV/0!</v>
      </c>
      <c r="Z10" s="7"/>
      <c r="AA10" s="8"/>
      <c r="AB10" s="8"/>
      <c r="AC10" s="9"/>
      <c r="AD10" s="7">
        <f>B8:B10</f>
        <v>0</v>
      </c>
      <c r="AE10" s="8">
        <f>M10</f>
        <v>0</v>
      </c>
      <c r="AF10" s="8">
        <f>W10</f>
        <v>0</v>
      </c>
    </row>
    <row r="11" spans="1:43" s="6" customFormat="1" ht="15" hidden="1" customHeight="1" x14ac:dyDescent="0.25">
      <c r="A11" s="4">
        <v>3</v>
      </c>
      <c r="B11" s="42">
        <f>'[1]РАСЧЁТЫ по действующей сист16'!B11</f>
        <v>0</v>
      </c>
      <c r="C11" s="43" t="s">
        <v>33</v>
      </c>
      <c r="D11" s="4"/>
      <c r="E11" s="4"/>
      <c r="F11" s="4"/>
      <c r="G11" s="4"/>
      <c r="H11" s="4"/>
      <c r="I11" s="12"/>
      <c r="J11" s="12"/>
      <c r="K11" s="5">
        <v>3</v>
      </c>
      <c r="L11" s="48">
        <v>17697</v>
      </c>
      <c r="M11" s="48"/>
      <c r="N11" s="48"/>
      <c r="O11" s="4"/>
      <c r="P11" s="48">
        <f>L11*O11</f>
        <v>0</v>
      </c>
      <c r="Q11" s="49">
        <f t="shared" si="5"/>
        <v>0</v>
      </c>
      <c r="R11" s="50">
        <f t="shared" si="0"/>
        <v>0</v>
      </c>
      <c r="S11" s="51">
        <f t="shared" si="1"/>
        <v>0</v>
      </c>
      <c r="T11" s="50">
        <f t="shared" si="2"/>
        <v>0</v>
      </c>
      <c r="U11" s="55"/>
      <c r="V11" s="53"/>
      <c r="W11" s="53">
        <f t="shared" si="4"/>
        <v>0</v>
      </c>
      <c r="X11" s="222" t="e">
        <f t="shared" si="6"/>
        <v>#DIV/0!</v>
      </c>
      <c r="Z11" s="7">
        <f>B11</f>
        <v>0</v>
      </c>
      <c r="AA11" s="8">
        <f>M11</f>
        <v>0</v>
      </c>
      <c r="AB11" s="8">
        <f>W11</f>
        <v>0</v>
      </c>
      <c r="AC11" s="13"/>
      <c r="AD11" s="7"/>
      <c r="AE11" s="8"/>
      <c r="AF11" s="8"/>
    </row>
    <row r="12" spans="1:43" s="6" customFormat="1" ht="27" customHeight="1" x14ac:dyDescent="0.25">
      <c r="A12" s="4">
        <v>2</v>
      </c>
      <c r="B12" s="42" t="str">
        <f>'[1]РАСЧЁТЫ по действующей сист16'!B12</f>
        <v>Саттарова Г.С.</v>
      </c>
      <c r="C12" s="43" t="s">
        <v>34</v>
      </c>
      <c r="D12" s="4" t="s">
        <v>35</v>
      </c>
      <c r="E12" s="224" t="s">
        <v>244</v>
      </c>
      <c r="F12" s="4"/>
      <c r="G12" s="4"/>
      <c r="H12" s="4">
        <v>1</v>
      </c>
      <c r="I12" s="4"/>
      <c r="J12" s="4" t="s">
        <v>37</v>
      </c>
      <c r="K12" s="5">
        <v>3</v>
      </c>
      <c r="L12" s="48">
        <v>17697</v>
      </c>
      <c r="M12" s="48">
        <v>1</v>
      </c>
      <c r="N12" s="48"/>
      <c r="O12" s="225">
        <v>2.4</v>
      </c>
      <c r="P12" s="48">
        <f>L12*O12</f>
        <v>42472.799999999996</v>
      </c>
      <c r="Q12" s="49">
        <f t="shared" si="5"/>
        <v>0</v>
      </c>
      <c r="R12" s="50">
        <f t="shared" si="0"/>
        <v>0</v>
      </c>
      <c r="S12" s="51">
        <f t="shared" si="1"/>
        <v>0.1</v>
      </c>
      <c r="T12" s="50">
        <f t="shared" si="2"/>
        <v>4247.28</v>
      </c>
      <c r="U12" s="55"/>
      <c r="V12" s="53"/>
      <c r="W12" s="53">
        <f t="shared" si="4"/>
        <v>46720.08</v>
      </c>
      <c r="X12" s="222">
        <f t="shared" si="6"/>
        <v>46720.08</v>
      </c>
      <c r="Z12" s="7" t="str">
        <f>B12</f>
        <v>Саттарова Г.С.</v>
      </c>
      <c r="AA12" s="8">
        <f>M12</f>
        <v>1</v>
      </c>
      <c r="AB12" s="8">
        <f>W12</f>
        <v>46720.08</v>
      </c>
      <c r="AC12" s="9"/>
      <c r="AD12" s="7"/>
      <c r="AE12" s="8"/>
      <c r="AF12" s="8"/>
    </row>
    <row r="13" spans="1:43" s="6" customFormat="1" ht="15" hidden="1" customHeight="1" x14ac:dyDescent="0.25">
      <c r="A13" s="4">
        <v>5</v>
      </c>
      <c r="B13" s="42">
        <f>'[1]РАСЧЁТЫ по действующей сист16'!B13</f>
        <v>0</v>
      </c>
      <c r="C13" s="56" t="s">
        <v>38</v>
      </c>
      <c r="D13" s="4"/>
      <c r="E13" s="4"/>
      <c r="F13" s="4"/>
      <c r="G13" s="4"/>
      <c r="H13" s="4"/>
      <c r="I13" s="12"/>
      <c r="J13" s="12"/>
      <c r="K13" s="5"/>
      <c r="L13" s="48">
        <v>17697</v>
      </c>
      <c r="M13" s="48"/>
      <c r="N13" s="57"/>
      <c r="O13" s="48"/>
      <c r="P13" s="48">
        <f>L13*O13</f>
        <v>0</v>
      </c>
      <c r="Q13" s="49">
        <f t="shared" si="5"/>
        <v>0</v>
      </c>
      <c r="R13" s="50">
        <f t="shared" si="0"/>
        <v>0</v>
      </c>
      <c r="S13" s="51">
        <f t="shared" si="1"/>
        <v>0</v>
      </c>
      <c r="T13" s="50">
        <f t="shared" si="2"/>
        <v>0</v>
      </c>
      <c r="U13" s="55"/>
      <c r="V13" s="53"/>
      <c r="W13" s="53">
        <f t="shared" si="4"/>
        <v>0</v>
      </c>
      <c r="X13" s="222" t="e">
        <f t="shared" si="6"/>
        <v>#DIV/0!</v>
      </c>
      <c r="Z13" s="7">
        <f>B13</f>
        <v>0</v>
      </c>
      <c r="AA13" s="8">
        <f>M13</f>
        <v>0</v>
      </c>
      <c r="AB13" s="8">
        <f>W13</f>
        <v>0</v>
      </c>
      <c r="AC13" s="9"/>
      <c r="AD13" s="7"/>
      <c r="AE13" s="8"/>
      <c r="AF13" s="8"/>
    </row>
    <row r="14" spans="1:43" s="6" customFormat="1" ht="15" customHeight="1" thickBot="1" x14ac:dyDescent="0.3">
      <c r="A14" s="4">
        <v>3</v>
      </c>
      <c r="B14" s="42" t="s">
        <v>169</v>
      </c>
      <c r="C14" s="58" t="s">
        <v>40</v>
      </c>
      <c r="D14" s="59" t="s">
        <v>28</v>
      </c>
      <c r="E14" s="59" t="s">
        <v>237</v>
      </c>
      <c r="F14" s="59"/>
      <c r="G14" s="59"/>
      <c r="H14" s="59">
        <v>1</v>
      </c>
      <c r="I14" s="32"/>
      <c r="J14" s="32" t="s">
        <v>37</v>
      </c>
      <c r="K14" s="33">
        <v>2</v>
      </c>
      <c r="L14" s="60">
        <v>17697</v>
      </c>
      <c r="M14" s="60">
        <v>0.5</v>
      </c>
      <c r="N14" s="48"/>
      <c r="O14" s="223">
        <v>3.29</v>
      </c>
      <c r="P14" s="60">
        <f>L14*O14</f>
        <v>58223.13</v>
      </c>
      <c r="Q14" s="49">
        <f t="shared" si="5"/>
        <v>0</v>
      </c>
      <c r="R14" s="50">
        <f t="shared" si="0"/>
        <v>0</v>
      </c>
      <c r="S14" s="51">
        <f t="shared" si="1"/>
        <v>0.1</v>
      </c>
      <c r="T14" s="50">
        <f t="shared" si="2"/>
        <v>2911.16</v>
      </c>
      <c r="U14" s="61"/>
      <c r="V14" s="62"/>
      <c r="W14" s="53">
        <f t="shared" si="4"/>
        <v>32022.73</v>
      </c>
      <c r="X14" s="222">
        <f t="shared" si="6"/>
        <v>64045.46</v>
      </c>
      <c r="Z14" s="7" t="str">
        <f>B14</f>
        <v>Доирбаева Д.Е.</v>
      </c>
      <c r="AA14" s="8">
        <f>M14</f>
        <v>0.5</v>
      </c>
      <c r="AB14" s="8">
        <f>W14</f>
        <v>32022.73</v>
      </c>
      <c r="AC14" s="9"/>
      <c r="AD14" s="7"/>
      <c r="AE14" s="8"/>
      <c r="AF14" s="8"/>
    </row>
    <row r="15" spans="1:43" s="6" customFormat="1" ht="30" customHeight="1" thickBot="1" x14ac:dyDescent="0.3">
      <c r="A15" s="528" t="s">
        <v>42</v>
      </c>
      <c r="B15" s="529"/>
      <c r="C15" s="529"/>
      <c r="D15" s="529"/>
      <c r="E15" s="256"/>
      <c r="F15" s="256"/>
      <c r="G15" s="256"/>
      <c r="H15" s="256"/>
      <c r="I15" s="256"/>
      <c r="J15" s="256"/>
      <c r="K15" s="257"/>
      <c r="L15" s="256"/>
      <c r="M15" s="258">
        <f>SUM(M9:M14)</f>
        <v>2.5</v>
      </c>
      <c r="N15" s="258"/>
      <c r="O15" s="258"/>
      <c r="P15" s="258">
        <f>SUM(P9:P14)</f>
        <v>188119.11000000002</v>
      </c>
      <c r="Q15" s="258"/>
      <c r="R15" s="259">
        <f>SUM(R9:R14)</f>
        <v>0</v>
      </c>
      <c r="S15" s="259"/>
      <c r="T15" s="259">
        <f>SUM(T9:T14)</f>
        <v>15900.759999999998</v>
      </c>
      <c r="U15" s="259">
        <f>SUM(U9:U13)</f>
        <v>0.3</v>
      </c>
      <c r="V15" s="259">
        <f>SUM(V9:V14)</f>
        <v>5309.0999999999995</v>
      </c>
      <c r="W15" s="53">
        <f>SUM(W9:W14)</f>
        <v>180217.41</v>
      </c>
      <c r="Z15" s="7" t="s">
        <v>43</v>
      </c>
      <c r="AA15" s="8">
        <f>SUM(AA9:AA14)</f>
        <v>1.5</v>
      </c>
      <c r="AB15" s="8">
        <f>SUM(AB9:AB14)</f>
        <v>78742.81</v>
      </c>
      <c r="AC15" s="13"/>
      <c r="AD15" s="7" t="s">
        <v>44</v>
      </c>
      <c r="AE15" s="8">
        <f>SUM(AE9:AE14)</f>
        <v>1</v>
      </c>
      <c r="AF15" s="8">
        <f>SUM(AF9:AF14)</f>
        <v>101474.6</v>
      </c>
      <c r="AH15" s="11"/>
    </row>
    <row r="16" spans="1:43" s="6" customFormat="1" ht="14.25" customHeight="1" x14ac:dyDescent="0.25">
      <c r="A16" s="34">
        <v>4</v>
      </c>
      <c r="B16" s="46" t="s">
        <v>45</v>
      </c>
      <c r="C16" s="67" t="s">
        <v>46</v>
      </c>
      <c r="D16" s="34" t="s">
        <v>28</v>
      </c>
      <c r="E16" s="34" t="s">
        <v>233</v>
      </c>
      <c r="F16" s="34"/>
      <c r="G16" s="34"/>
      <c r="H16" s="34">
        <v>1</v>
      </c>
      <c r="I16" s="34" t="s">
        <v>48</v>
      </c>
      <c r="J16" s="34" t="s">
        <v>53</v>
      </c>
      <c r="K16" s="35">
        <v>2</v>
      </c>
      <c r="L16" s="68">
        <v>17697</v>
      </c>
      <c r="M16" s="69">
        <v>0.75</v>
      </c>
      <c r="N16" s="68">
        <v>1</v>
      </c>
      <c r="O16" s="68">
        <v>3.96</v>
      </c>
      <c r="P16" s="68">
        <f>L16*O16</f>
        <v>70080.12</v>
      </c>
      <c r="Q16" s="49">
        <f t="shared" si="5"/>
        <v>0</v>
      </c>
      <c r="R16" s="50">
        <f>ROUND((P16+T16)*Q16,2)</f>
        <v>0</v>
      </c>
      <c r="S16" s="51">
        <f>IF(H16&gt;0,10%,0)</f>
        <v>0.1</v>
      </c>
      <c r="T16" s="50">
        <f>ROUND(P16*S16*M16,2)</f>
        <v>5256.01</v>
      </c>
      <c r="U16" s="52">
        <v>0.4</v>
      </c>
      <c r="V16" s="53">
        <f t="shared" ref="V16:V49" si="7">L16*U16*M16</f>
        <v>5309.1</v>
      </c>
      <c r="W16" s="53">
        <f t="shared" si="4"/>
        <v>63125.2</v>
      </c>
      <c r="X16" s="222">
        <f t="shared" si="6"/>
        <v>84166.933333333334</v>
      </c>
      <c r="Z16" s="7"/>
      <c r="AA16" s="8"/>
      <c r="AB16" s="8"/>
      <c r="AC16" s="13"/>
      <c r="AD16" s="7" t="str">
        <f>B16</f>
        <v>Утебаева А. К.</v>
      </c>
      <c r="AE16" s="16">
        <f>M16</f>
        <v>0.75</v>
      </c>
      <c r="AF16" s="8">
        <f>W16</f>
        <v>63125.2</v>
      </c>
    </row>
    <row r="17" spans="1:32" s="6" customFormat="1" ht="15" x14ac:dyDescent="0.25">
      <c r="A17" s="34">
        <v>5</v>
      </c>
      <c r="B17" s="46" t="s">
        <v>108</v>
      </c>
      <c r="C17" s="56" t="s">
        <v>51</v>
      </c>
      <c r="D17" s="34" t="s">
        <v>28</v>
      </c>
      <c r="E17" s="34" t="s">
        <v>41</v>
      </c>
      <c r="F17" s="34"/>
      <c r="G17" s="34"/>
      <c r="H17" s="34">
        <v>1</v>
      </c>
      <c r="I17" s="34" t="s">
        <v>48</v>
      </c>
      <c r="J17" s="34" t="s">
        <v>53</v>
      </c>
      <c r="K17" s="35">
        <v>4</v>
      </c>
      <c r="L17" s="68">
        <v>17697</v>
      </c>
      <c r="M17" s="69">
        <v>1</v>
      </c>
      <c r="N17" s="68"/>
      <c r="O17" s="68">
        <v>3.08</v>
      </c>
      <c r="P17" s="68">
        <f t="shared" ref="P17:P49" si="8">L17*O17</f>
        <v>54506.76</v>
      </c>
      <c r="Q17" s="49">
        <f t="shared" si="5"/>
        <v>0</v>
      </c>
      <c r="R17" s="50">
        <f t="shared" ref="R17:R49" si="9">ROUND((P17+T17)*Q17,2)</f>
        <v>0</v>
      </c>
      <c r="S17" s="51">
        <f t="shared" ref="S17:S49" si="10">IF(H17&gt;0,10%,0)</f>
        <v>0.1</v>
      </c>
      <c r="T17" s="50">
        <f t="shared" ref="T17:T49" si="11">ROUND(P17*S17*M17,2)</f>
        <v>5450.68</v>
      </c>
      <c r="U17" s="52">
        <v>0.4</v>
      </c>
      <c r="V17" s="53">
        <f t="shared" si="7"/>
        <v>7078.8</v>
      </c>
      <c r="W17" s="50">
        <f t="shared" si="4"/>
        <v>67036.240000000005</v>
      </c>
      <c r="X17" s="222">
        <f t="shared" si="6"/>
        <v>67036.240000000005</v>
      </c>
      <c r="Z17" s="7"/>
      <c r="AA17" s="8"/>
      <c r="AB17" s="8"/>
      <c r="AC17" s="13"/>
      <c r="AD17" s="7"/>
      <c r="AE17" s="16"/>
      <c r="AF17" s="8"/>
    </row>
    <row r="18" spans="1:32" s="6" customFormat="1" ht="15" x14ac:dyDescent="0.25">
      <c r="A18" s="34">
        <v>6</v>
      </c>
      <c r="B18" s="46" t="str">
        <f>'[1]РАСЧЁТЫ по действующей сист16'!B19</f>
        <v>Зикен Н.</v>
      </c>
      <c r="C18" s="56" t="s">
        <v>54</v>
      </c>
      <c r="D18" s="34" t="s">
        <v>28</v>
      </c>
      <c r="E18" s="34" t="s">
        <v>241</v>
      </c>
      <c r="F18" s="34"/>
      <c r="G18" s="34"/>
      <c r="H18" s="34">
        <v>1</v>
      </c>
      <c r="I18" s="34" t="s">
        <v>48</v>
      </c>
      <c r="J18" s="34" t="s">
        <v>53</v>
      </c>
      <c r="K18" s="35">
        <v>4</v>
      </c>
      <c r="L18" s="68">
        <v>17697</v>
      </c>
      <c r="M18" s="69">
        <v>1</v>
      </c>
      <c r="N18" s="68"/>
      <c r="O18" s="68">
        <v>3.14</v>
      </c>
      <c r="P18" s="68">
        <f t="shared" si="8"/>
        <v>55568.58</v>
      </c>
      <c r="Q18" s="49">
        <f t="shared" si="5"/>
        <v>0</v>
      </c>
      <c r="R18" s="50">
        <f t="shared" si="9"/>
        <v>0</v>
      </c>
      <c r="S18" s="51">
        <f t="shared" si="10"/>
        <v>0.1</v>
      </c>
      <c r="T18" s="50">
        <f t="shared" si="11"/>
        <v>5556.86</v>
      </c>
      <c r="U18" s="52">
        <v>0.4</v>
      </c>
      <c r="V18" s="53">
        <f t="shared" si="7"/>
        <v>7078.8</v>
      </c>
      <c r="W18" s="50">
        <f t="shared" si="4"/>
        <v>68204.240000000005</v>
      </c>
      <c r="X18" s="222">
        <f t="shared" si="6"/>
        <v>68204.240000000005</v>
      </c>
      <c r="Z18" s="7"/>
      <c r="AA18" s="8"/>
      <c r="AB18" s="8"/>
      <c r="AC18" s="13"/>
      <c r="AD18" s="7" t="str">
        <f t="shared" ref="AD18:AD26" si="12">B18</f>
        <v>Зикен Н.</v>
      </c>
      <c r="AE18" s="16">
        <f t="shared" ref="AE18:AE26" si="13">M18</f>
        <v>1</v>
      </c>
      <c r="AF18" s="8">
        <f t="shared" ref="AF18:AF26" si="14">W18</f>
        <v>68204.240000000005</v>
      </c>
    </row>
    <row r="19" spans="1:32" s="6" customFormat="1" ht="15" x14ac:dyDescent="0.25">
      <c r="A19" s="34">
        <v>7</v>
      </c>
      <c r="B19" s="46" t="str">
        <f>'[1]РАСЧЁТЫ по действующей сист16'!B21</f>
        <v>Коломыцева А.Ю.</v>
      </c>
      <c r="C19" s="56" t="s">
        <v>54</v>
      </c>
      <c r="D19" s="34" t="s">
        <v>28</v>
      </c>
      <c r="E19" s="34" t="s">
        <v>240</v>
      </c>
      <c r="F19" s="34"/>
      <c r="G19" s="34"/>
      <c r="H19" s="34">
        <v>1</v>
      </c>
      <c r="I19" s="34" t="s">
        <v>48</v>
      </c>
      <c r="J19" s="34" t="s">
        <v>53</v>
      </c>
      <c r="K19" s="35">
        <v>4</v>
      </c>
      <c r="L19" s="68">
        <v>17697</v>
      </c>
      <c r="M19" s="69">
        <v>1</v>
      </c>
      <c r="N19" s="68"/>
      <c r="O19" s="68">
        <v>3.14</v>
      </c>
      <c r="P19" s="68">
        <f t="shared" si="8"/>
        <v>55568.58</v>
      </c>
      <c r="Q19" s="49">
        <f t="shared" si="5"/>
        <v>0</v>
      </c>
      <c r="R19" s="50">
        <f t="shared" si="9"/>
        <v>0</v>
      </c>
      <c r="S19" s="51">
        <f t="shared" si="10"/>
        <v>0.1</v>
      </c>
      <c r="T19" s="50">
        <f t="shared" si="11"/>
        <v>5556.86</v>
      </c>
      <c r="U19" s="52">
        <v>0.4</v>
      </c>
      <c r="V19" s="53">
        <f t="shared" si="7"/>
        <v>7078.8</v>
      </c>
      <c r="W19" s="50">
        <f t="shared" si="4"/>
        <v>68204.240000000005</v>
      </c>
      <c r="X19" s="222">
        <f t="shared" si="6"/>
        <v>68204.240000000005</v>
      </c>
      <c r="Z19" s="7"/>
      <c r="AA19" s="8"/>
      <c r="AB19" s="8"/>
      <c r="AC19" s="13"/>
      <c r="AD19" s="7" t="str">
        <f t="shared" si="12"/>
        <v>Коломыцева А.Ю.</v>
      </c>
      <c r="AE19" s="16">
        <f t="shared" si="13"/>
        <v>1</v>
      </c>
      <c r="AF19" s="8">
        <f t="shared" si="14"/>
        <v>68204.240000000005</v>
      </c>
    </row>
    <row r="20" spans="1:32" s="6" customFormat="1" ht="15" x14ac:dyDescent="0.25">
      <c r="A20" s="34">
        <v>8</v>
      </c>
      <c r="B20" s="46" t="s">
        <v>219</v>
      </c>
      <c r="C20" s="56" t="s">
        <v>54</v>
      </c>
      <c r="D20" s="34" t="s">
        <v>28</v>
      </c>
      <c r="E20" s="34" t="s">
        <v>41</v>
      </c>
      <c r="F20" s="34"/>
      <c r="G20" s="34"/>
      <c r="H20" s="34">
        <v>1</v>
      </c>
      <c r="I20" s="34" t="s">
        <v>48</v>
      </c>
      <c r="J20" s="34" t="s">
        <v>53</v>
      </c>
      <c r="K20" s="35">
        <v>4</v>
      </c>
      <c r="L20" s="68">
        <v>17697</v>
      </c>
      <c r="M20" s="69">
        <v>1</v>
      </c>
      <c r="N20" s="68"/>
      <c r="O20" s="68">
        <v>3.08</v>
      </c>
      <c r="P20" s="68">
        <f t="shared" si="8"/>
        <v>54506.76</v>
      </c>
      <c r="Q20" s="49">
        <f t="shared" si="5"/>
        <v>0</v>
      </c>
      <c r="R20" s="50">
        <f t="shared" si="9"/>
        <v>0</v>
      </c>
      <c r="S20" s="51">
        <f t="shared" si="10"/>
        <v>0.1</v>
      </c>
      <c r="T20" s="50">
        <f t="shared" si="11"/>
        <v>5450.68</v>
      </c>
      <c r="U20" s="52">
        <v>0.4</v>
      </c>
      <c r="V20" s="53">
        <f t="shared" si="7"/>
        <v>7078.8</v>
      </c>
      <c r="W20" s="50">
        <f t="shared" si="4"/>
        <v>67036.240000000005</v>
      </c>
      <c r="X20" s="222">
        <f t="shared" si="6"/>
        <v>67036.240000000005</v>
      </c>
      <c r="Z20" s="7"/>
      <c r="AA20" s="8"/>
      <c r="AB20" s="8"/>
      <c r="AC20" s="13"/>
      <c r="AD20" s="7" t="str">
        <f t="shared" si="12"/>
        <v>Капаева С.А.</v>
      </c>
      <c r="AE20" s="16">
        <f t="shared" si="13"/>
        <v>1</v>
      </c>
      <c r="AF20" s="8">
        <f t="shared" si="14"/>
        <v>67036.240000000005</v>
      </c>
    </row>
    <row r="21" spans="1:32" s="6" customFormat="1" ht="15" x14ac:dyDescent="0.25">
      <c r="A21" s="34">
        <v>9</v>
      </c>
      <c r="B21" s="46" t="str">
        <f>'[1]РАСЧЁТЫ по действующей сист16'!B23</f>
        <v>Абильдинова С.С.</v>
      </c>
      <c r="C21" s="56" t="s">
        <v>54</v>
      </c>
      <c r="D21" s="34" t="s">
        <v>28</v>
      </c>
      <c r="E21" s="34" t="s">
        <v>240</v>
      </c>
      <c r="F21" s="34"/>
      <c r="G21" s="34"/>
      <c r="H21" s="34">
        <v>1</v>
      </c>
      <c r="I21" s="34" t="s">
        <v>48</v>
      </c>
      <c r="J21" s="34" t="s">
        <v>53</v>
      </c>
      <c r="K21" s="35">
        <v>4</v>
      </c>
      <c r="L21" s="68">
        <v>17697</v>
      </c>
      <c r="M21" s="69">
        <v>1</v>
      </c>
      <c r="N21" s="68"/>
      <c r="O21" s="68">
        <v>3.14</v>
      </c>
      <c r="P21" s="68">
        <f t="shared" si="8"/>
        <v>55568.58</v>
      </c>
      <c r="Q21" s="49">
        <f t="shared" si="5"/>
        <v>0</v>
      </c>
      <c r="R21" s="50">
        <f t="shared" si="9"/>
        <v>0</v>
      </c>
      <c r="S21" s="51">
        <f t="shared" si="10"/>
        <v>0.1</v>
      </c>
      <c r="T21" s="50">
        <f t="shared" si="11"/>
        <v>5556.86</v>
      </c>
      <c r="U21" s="52">
        <v>0.4</v>
      </c>
      <c r="V21" s="53">
        <f t="shared" si="7"/>
        <v>7078.8</v>
      </c>
      <c r="W21" s="53">
        <f t="shared" si="4"/>
        <v>68204.240000000005</v>
      </c>
      <c r="X21" s="222">
        <f t="shared" si="6"/>
        <v>68204.240000000005</v>
      </c>
      <c r="Z21" s="7"/>
      <c r="AA21" s="8"/>
      <c r="AB21" s="8"/>
      <c r="AC21" s="13"/>
      <c r="AD21" s="7" t="str">
        <f t="shared" si="12"/>
        <v>Абильдинова С.С.</v>
      </c>
      <c r="AE21" s="16">
        <f t="shared" si="13"/>
        <v>1</v>
      </c>
      <c r="AF21" s="8">
        <f t="shared" si="14"/>
        <v>68204.240000000005</v>
      </c>
    </row>
    <row r="22" spans="1:32" s="6" customFormat="1" ht="15" x14ac:dyDescent="0.25">
      <c r="A22" s="34">
        <v>10</v>
      </c>
      <c r="B22" s="46" t="s">
        <v>218</v>
      </c>
      <c r="C22" s="56" t="s">
        <v>54</v>
      </c>
      <c r="D22" s="34" t="s">
        <v>28</v>
      </c>
      <c r="E22" s="4" t="s">
        <v>41</v>
      </c>
      <c r="F22" s="4"/>
      <c r="G22" s="4"/>
      <c r="H22" s="34">
        <v>1</v>
      </c>
      <c r="I22" s="34" t="s">
        <v>48</v>
      </c>
      <c r="J22" s="34" t="s">
        <v>53</v>
      </c>
      <c r="K22" s="35">
        <v>4</v>
      </c>
      <c r="L22" s="68">
        <v>17697</v>
      </c>
      <c r="M22" s="69">
        <v>1</v>
      </c>
      <c r="N22" s="68"/>
      <c r="O22" s="68">
        <v>3.08</v>
      </c>
      <c r="P22" s="68">
        <f t="shared" si="8"/>
        <v>54506.76</v>
      </c>
      <c r="Q22" s="49">
        <f t="shared" si="5"/>
        <v>0</v>
      </c>
      <c r="R22" s="50">
        <f t="shared" si="9"/>
        <v>0</v>
      </c>
      <c r="S22" s="51">
        <f t="shared" si="10"/>
        <v>0.1</v>
      </c>
      <c r="T22" s="50">
        <f t="shared" si="11"/>
        <v>5450.68</v>
      </c>
      <c r="U22" s="52">
        <v>0.4</v>
      </c>
      <c r="V22" s="53">
        <f t="shared" si="7"/>
        <v>7078.8</v>
      </c>
      <c r="W22" s="53">
        <f t="shared" si="4"/>
        <v>67036.240000000005</v>
      </c>
      <c r="X22" s="222">
        <f t="shared" si="6"/>
        <v>67036.240000000005</v>
      </c>
      <c r="Z22" s="7"/>
      <c r="AA22" s="8"/>
      <c r="AB22" s="8"/>
      <c r="AC22" s="9"/>
      <c r="AD22" s="7" t="str">
        <f t="shared" si="12"/>
        <v>Мауянова М. Ж.</v>
      </c>
      <c r="AE22" s="16">
        <f t="shared" si="13"/>
        <v>1</v>
      </c>
      <c r="AF22" s="8">
        <f t="shared" si="14"/>
        <v>67036.240000000005</v>
      </c>
    </row>
    <row r="23" spans="1:32" s="6" customFormat="1" ht="15" x14ac:dyDescent="0.25">
      <c r="A23" s="34">
        <v>11</v>
      </c>
      <c r="B23" s="46" t="s">
        <v>57</v>
      </c>
      <c r="C23" s="56" t="s">
        <v>58</v>
      </c>
      <c r="D23" s="4" t="s">
        <v>28</v>
      </c>
      <c r="E23" s="34" t="s">
        <v>238</v>
      </c>
      <c r="F23" s="4"/>
      <c r="G23" s="4"/>
      <c r="H23" s="4">
        <v>1</v>
      </c>
      <c r="I23" s="34" t="s">
        <v>48</v>
      </c>
      <c r="J23" s="4" t="s">
        <v>56</v>
      </c>
      <c r="K23" s="5">
        <v>4</v>
      </c>
      <c r="L23" s="48">
        <v>17697</v>
      </c>
      <c r="M23" s="70">
        <v>0.5</v>
      </c>
      <c r="N23" s="48"/>
      <c r="O23" s="4">
        <v>2.92</v>
      </c>
      <c r="P23" s="68">
        <f t="shared" si="8"/>
        <v>51675.24</v>
      </c>
      <c r="Q23" s="49">
        <f t="shared" si="5"/>
        <v>0</v>
      </c>
      <c r="R23" s="50">
        <f t="shared" si="9"/>
        <v>0</v>
      </c>
      <c r="S23" s="51">
        <f t="shared" si="10"/>
        <v>0.1</v>
      </c>
      <c r="T23" s="50">
        <f t="shared" si="11"/>
        <v>2583.7600000000002</v>
      </c>
      <c r="U23" s="52">
        <v>0.4</v>
      </c>
      <c r="V23" s="53">
        <f t="shared" si="7"/>
        <v>3539.4</v>
      </c>
      <c r="W23" s="53">
        <f t="shared" si="4"/>
        <v>31960.78</v>
      </c>
      <c r="X23" s="222">
        <f t="shared" si="6"/>
        <v>63921.56</v>
      </c>
      <c r="Z23" s="7"/>
      <c r="AA23" s="8"/>
      <c r="AB23" s="8"/>
      <c r="AC23" s="9"/>
      <c r="AD23" s="7" t="str">
        <f t="shared" si="12"/>
        <v>Жуманова М.С.</v>
      </c>
      <c r="AE23" s="16">
        <f t="shared" si="13"/>
        <v>0.5</v>
      </c>
      <c r="AF23" s="8">
        <f t="shared" si="14"/>
        <v>31960.78</v>
      </c>
    </row>
    <row r="24" spans="1:32" s="6" customFormat="1" ht="30" x14ac:dyDescent="0.25">
      <c r="A24" s="34">
        <v>12</v>
      </c>
      <c r="B24" s="46" t="s">
        <v>206</v>
      </c>
      <c r="C24" s="56" t="s">
        <v>60</v>
      </c>
      <c r="D24" s="4" t="s">
        <v>28</v>
      </c>
      <c r="E24" s="4" t="s">
        <v>41</v>
      </c>
      <c r="F24" s="4"/>
      <c r="G24" s="4"/>
      <c r="H24" s="4">
        <v>1</v>
      </c>
      <c r="I24" s="34" t="s">
        <v>48</v>
      </c>
      <c r="J24" s="4" t="s">
        <v>53</v>
      </c>
      <c r="K24" s="5">
        <v>4</v>
      </c>
      <c r="L24" s="48">
        <v>17697</v>
      </c>
      <c r="M24" s="70">
        <v>1</v>
      </c>
      <c r="N24" s="48"/>
      <c r="O24" s="4">
        <v>3.08</v>
      </c>
      <c r="P24" s="68">
        <f t="shared" si="8"/>
        <v>54506.76</v>
      </c>
      <c r="Q24" s="49">
        <f t="shared" si="5"/>
        <v>0</v>
      </c>
      <c r="R24" s="50">
        <f t="shared" si="9"/>
        <v>0</v>
      </c>
      <c r="S24" s="51">
        <f t="shared" si="10"/>
        <v>0.1</v>
      </c>
      <c r="T24" s="50">
        <f t="shared" si="11"/>
        <v>5450.68</v>
      </c>
      <c r="U24" s="52">
        <v>0.4</v>
      </c>
      <c r="V24" s="53">
        <f t="shared" si="7"/>
        <v>7078.8</v>
      </c>
      <c r="W24" s="53">
        <f t="shared" si="4"/>
        <v>67036.240000000005</v>
      </c>
      <c r="X24" s="222">
        <f t="shared" si="6"/>
        <v>67036.240000000005</v>
      </c>
      <c r="Z24" s="7"/>
      <c r="AA24" s="8"/>
      <c r="AB24" s="8"/>
      <c r="AC24" s="9"/>
      <c r="AD24" s="7" t="str">
        <f t="shared" si="12"/>
        <v>Мунсызова А. Е. Тохтаралыева А.Е.</v>
      </c>
      <c r="AE24" s="16">
        <f t="shared" si="13"/>
        <v>1</v>
      </c>
      <c r="AF24" s="8">
        <f t="shared" si="14"/>
        <v>67036.240000000005</v>
      </c>
    </row>
    <row r="25" spans="1:32" s="6" customFormat="1" ht="15" x14ac:dyDescent="0.25">
      <c r="A25" s="34">
        <v>13</v>
      </c>
      <c r="B25" s="46" t="s">
        <v>220</v>
      </c>
      <c r="C25" s="56" t="s">
        <v>60</v>
      </c>
      <c r="D25" s="4" t="s">
        <v>28</v>
      </c>
      <c r="E25" s="4" t="s">
        <v>41</v>
      </c>
      <c r="F25" s="4"/>
      <c r="G25" s="4"/>
      <c r="H25" s="4">
        <v>1</v>
      </c>
      <c r="I25" s="34" t="s">
        <v>48</v>
      </c>
      <c r="J25" s="4" t="s">
        <v>53</v>
      </c>
      <c r="K25" s="5">
        <v>4</v>
      </c>
      <c r="L25" s="48">
        <v>17697</v>
      </c>
      <c r="M25" s="70">
        <v>1</v>
      </c>
      <c r="N25" s="48"/>
      <c r="O25" s="4">
        <v>3.08</v>
      </c>
      <c r="P25" s="68">
        <f t="shared" si="8"/>
        <v>54506.76</v>
      </c>
      <c r="Q25" s="49">
        <f t="shared" si="5"/>
        <v>0</v>
      </c>
      <c r="R25" s="50">
        <f t="shared" si="9"/>
        <v>0</v>
      </c>
      <c r="S25" s="51">
        <f t="shared" si="10"/>
        <v>0.1</v>
      </c>
      <c r="T25" s="50">
        <f t="shared" si="11"/>
        <v>5450.68</v>
      </c>
      <c r="U25" s="52">
        <v>0.4</v>
      </c>
      <c r="V25" s="53">
        <f t="shared" si="7"/>
        <v>7078.8</v>
      </c>
      <c r="W25" s="53">
        <f t="shared" si="4"/>
        <v>67036.240000000005</v>
      </c>
      <c r="X25" s="222">
        <f t="shared" si="6"/>
        <v>67036.240000000005</v>
      </c>
      <c r="Z25" s="7"/>
      <c r="AA25" s="8"/>
      <c r="AB25" s="8"/>
      <c r="AC25" s="9"/>
      <c r="AD25" s="7" t="str">
        <f t="shared" si="12"/>
        <v>Инкарбаева М.Ж.</v>
      </c>
      <c r="AE25" s="16">
        <f t="shared" si="13"/>
        <v>1</v>
      </c>
      <c r="AF25" s="8">
        <f t="shared" si="14"/>
        <v>67036.240000000005</v>
      </c>
    </row>
    <row r="26" spans="1:32" s="6" customFormat="1" ht="15" x14ac:dyDescent="0.25">
      <c r="A26" s="34">
        <v>14</v>
      </c>
      <c r="B26" s="42" t="s">
        <v>175</v>
      </c>
      <c r="C26" s="56" t="s">
        <v>63</v>
      </c>
      <c r="D26" s="4" t="s">
        <v>28</v>
      </c>
      <c r="E26" s="34" t="s">
        <v>248</v>
      </c>
      <c r="F26" s="71"/>
      <c r="G26" s="71"/>
      <c r="H26" s="71" t="s">
        <v>65</v>
      </c>
      <c r="I26" s="12" t="s">
        <v>48</v>
      </c>
      <c r="J26" s="12" t="s">
        <v>56</v>
      </c>
      <c r="K26" s="5">
        <v>3</v>
      </c>
      <c r="L26" s="48">
        <v>17697</v>
      </c>
      <c r="M26" s="70">
        <v>0.5</v>
      </c>
      <c r="N26" s="48"/>
      <c r="O26" s="48">
        <v>2.77</v>
      </c>
      <c r="P26" s="48">
        <f t="shared" si="8"/>
        <v>49020.69</v>
      </c>
      <c r="Q26" s="49">
        <f t="shared" si="5"/>
        <v>0</v>
      </c>
      <c r="R26" s="50">
        <f t="shared" si="9"/>
        <v>0</v>
      </c>
      <c r="S26" s="51">
        <f t="shared" si="10"/>
        <v>0.1</v>
      </c>
      <c r="T26" s="50">
        <f t="shared" si="11"/>
        <v>2451.0300000000002</v>
      </c>
      <c r="U26" s="52"/>
      <c r="V26" s="53">
        <f t="shared" si="7"/>
        <v>0</v>
      </c>
      <c r="W26" s="53">
        <f t="shared" si="4"/>
        <v>26961.38</v>
      </c>
      <c r="X26" s="222">
        <f t="shared" si="6"/>
        <v>53922.76</v>
      </c>
      <c r="Z26" s="7"/>
      <c r="AA26" s="8"/>
      <c r="AB26" s="8"/>
      <c r="AC26" s="9"/>
      <c r="AD26" s="7" t="str">
        <f t="shared" si="12"/>
        <v>Искакова А.К.</v>
      </c>
      <c r="AE26" s="16">
        <f t="shared" si="13"/>
        <v>0.5</v>
      </c>
      <c r="AF26" s="8">
        <f t="shared" si="14"/>
        <v>26961.38</v>
      </c>
    </row>
    <row r="27" spans="1:32" s="6" customFormat="1" ht="15" x14ac:dyDescent="0.25">
      <c r="A27" s="34">
        <v>15</v>
      </c>
      <c r="B27" s="46" t="str">
        <f>'[1]РАСЧЁТЫ по действующей сист16'!B31</f>
        <v>Жанарбаева А.Е.</v>
      </c>
      <c r="C27" s="56" t="s">
        <v>66</v>
      </c>
      <c r="D27" s="4" t="s">
        <v>28</v>
      </c>
      <c r="E27" s="34" t="s">
        <v>235</v>
      </c>
      <c r="F27" s="71"/>
      <c r="G27" s="71"/>
      <c r="H27" s="71" t="s">
        <v>65</v>
      </c>
      <c r="I27" s="12" t="s">
        <v>48</v>
      </c>
      <c r="J27" s="12" t="s">
        <v>53</v>
      </c>
      <c r="K27" s="5">
        <v>4</v>
      </c>
      <c r="L27" s="48">
        <v>17697</v>
      </c>
      <c r="M27" s="70">
        <v>0.25</v>
      </c>
      <c r="N27" s="48"/>
      <c r="O27" s="48">
        <v>3.65</v>
      </c>
      <c r="P27" s="48">
        <f t="shared" si="8"/>
        <v>64594.049999999996</v>
      </c>
      <c r="Q27" s="49">
        <f t="shared" si="5"/>
        <v>0</v>
      </c>
      <c r="R27" s="50">
        <f t="shared" si="9"/>
        <v>0</v>
      </c>
      <c r="S27" s="51">
        <f t="shared" si="10"/>
        <v>0.1</v>
      </c>
      <c r="T27" s="50">
        <f t="shared" si="11"/>
        <v>1614.85</v>
      </c>
      <c r="U27" s="52">
        <v>0.4</v>
      </c>
      <c r="V27" s="53">
        <f t="shared" si="7"/>
        <v>1769.7</v>
      </c>
      <c r="W27" s="53">
        <f t="shared" si="4"/>
        <v>19533.060000000001</v>
      </c>
      <c r="X27" s="222">
        <f t="shared" si="6"/>
        <v>78132.240000000005</v>
      </c>
      <c r="Z27" s="7" t="str">
        <f t="shared" ref="Z27:Z30" si="15">B27</f>
        <v>Жанарбаева А.Е.</v>
      </c>
      <c r="AA27" s="8">
        <f t="shared" ref="AA27:AA33" si="16">M27</f>
        <v>0.25</v>
      </c>
      <c r="AB27" s="8">
        <f>W27</f>
        <v>19533.060000000001</v>
      </c>
      <c r="AC27" s="9"/>
      <c r="AD27" s="7"/>
      <c r="AE27" s="16"/>
      <c r="AF27" s="8"/>
    </row>
    <row r="28" spans="1:32" s="6" customFormat="1" ht="15" x14ac:dyDescent="0.25">
      <c r="A28" s="34">
        <v>16</v>
      </c>
      <c r="B28" s="46" t="str">
        <f>'[1]РАСЧЁТЫ по действующей сист16'!B32</f>
        <v>Арынова  П.Т.</v>
      </c>
      <c r="C28" s="56" t="s">
        <v>68</v>
      </c>
      <c r="D28" s="4" t="s">
        <v>28</v>
      </c>
      <c r="E28" s="4" t="s">
        <v>234</v>
      </c>
      <c r="F28" s="71"/>
      <c r="G28" s="71"/>
      <c r="H28" s="71" t="s">
        <v>65</v>
      </c>
      <c r="I28" s="12" t="s">
        <v>48</v>
      </c>
      <c r="J28" s="12" t="s">
        <v>53</v>
      </c>
      <c r="K28" s="5">
        <v>4</v>
      </c>
      <c r="L28" s="48">
        <v>17697</v>
      </c>
      <c r="M28" s="70">
        <v>0.25</v>
      </c>
      <c r="N28" s="48"/>
      <c r="O28" s="48">
        <v>3.65</v>
      </c>
      <c r="P28" s="48">
        <f t="shared" si="8"/>
        <v>64594.049999999996</v>
      </c>
      <c r="Q28" s="49">
        <f t="shared" si="5"/>
        <v>0</v>
      </c>
      <c r="R28" s="50">
        <f t="shared" si="9"/>
        <v>0</v>
      </c>
      <c r="S28" s="51">
        <f t="shared" si="10"/>
        <v>0.1</v>
      </c>
      <c r="T28" s="50">
        <f t="shared" si="11"/>
        <v>1614.85</v>
      </c>
      <c r="U28" s="52">
        <v>0.4</v>
      </c>
      <c r="V28" s="53">
        <f t="shared" si="7"/>
        <v>1769.7</v>
      </c>
      <c r="W28" s="53">
        <f t="shared" si="4"/>
        <v>19533.060000000001</v>
      </c>
      <c r="X28" s="222">
        <f t="shared" si="6"/>
        <v>78132.240000000005</v>
      </c>
      <c r="Z28" s="7" t="str">
        <f t="shared" si="15"/>
        <v>Арынова  П.Т.</v>
      </c>
      <c r="AA28" s="8">
        <f t="shared" si="16"/>
        <v>0.25</v>
      </c>
      <c r="AB28" s="8">
        <f>W28</f>
        <v>19533.060000000001</v>
      </c>
      <c r="AC28" s="9"/>
      <c r="AD28" s="7"/>
      <c r="AE28" s="16"/>
      <c r="AF28" s="8"/>
    </row>
    <row r="29" spans="1:32" s="6" customFormat="1" ht="15" x14ac:dyDescent="0.25">
      <c r="A29" s="34">
        <v>17</v>
      </c>
      <c r="B29" s="72" t="s">
        <v>70</v>
      </c>
      <c r="C29" s="56" t="s">
        <v>71</v>
      </c>
      <c r="D29" s="4" t="s">
        <v>35</v>
      </c>
      <c r="E29" s="4" t="s">
        <v>188</v>
      </c>
      <c r="F29" s="71"/>
      <c r="G29" s="71"/>
      <c r="H29" s="71" t="s">
        <v>65</v>
      </c>
      <c r="I29" s="12" t="s">
        <v>48</v>
      </c>
      <c r="J29" s="12" t="s">
        <v>49</v>
      </c>
      <c r="K29" s="5">
        <v>4</v>
      </c>
      <c r="L29" s="48">
        <v>17697</v>
      </c>
      <c r="M29" s="70">
        <v>1</v>
      </c>
      <c r="N29" s="227"/>
      <c r="O29" s="48">
        <v>2.68</v>
      </c>
      <c r="P29" s="48">
        <f t="shared" si="8"/>
        <v>47427.960000000006</v>
      </c>
      <c r="Q29" s="49">
        <f t="shared" si="5"/>
        <v>0</v>
      </c>
      <c r="R29" s="50">
        <f t="shared" si="9"/>
        <v>0</v>
      </c>
      <c r="S29" s="51">
        <f t="shared" si="10"/>
        <v>0.1</v>
      </c>
      <c r="T29" s="50">
        <f t="shared" si="11"/>
        <v>4742.8</v>
      </c>
      <c r="U29" s="52">
        <v>0.4</v>
      </c>
      <c r="V29" s="53">
        <f t="shared" si="7"/>
        <v>7078.8</v>
      </c>
      <c r="W29" s="53">
        <f t="shared" si="4"/>
        <v>59249.56</v>
      </c>
      <c r="X29" s="222">
        <f t="shared" si="6"/>
        <v>59249.56</v>
      </c>
      <c r="Z29" s="7" t="str">
        <f t="shared" si="15"/>
        <v>Тезекбаева Р.Т.</v>
      </c>
      <c r="AA29" s="8">
        <f t="shared" si="16"/>
        <v>1</v>
      </c>
      <c r="AB29" s="8">
        <f>W29</f>
        <v>59249.56</v>
      </c>
      <c r="AC29" s="9"/>
      <c r="AD29" s="7"/>
      <c r="AE29" s="16"/>
      <c r="AF29" s="8"/>
    </row>
    <row r="30" spans="1:32" s="6" customFormat="1" ht="15" x14ac:dyDescent="0.25">
      <c r="A30" s="34">
        <v>18</v>
      </c>
      <c r="B30" s="46" t="s">
        <v>242</v>
      </c>
      <c r="C30" s="56" t="s">
        <v>72</v>
      </c>
      <c r="D30" s="4" t="s">
        <v>35</v>
      </c>
      <c r="E30" s="4" t="s">
        <v>243</v>
      </c>
      <c r="F30" s="71"/>
      <c r="G30" s="71"/>
      <c r="H30" s="71" t="s">
        <v>65</v>
      </c>
      <c r="I30" s="12" t="s">
        <v>48</v>
      </c>
      <c r="J30" s="12" t="s">
        <v>49</v>
      </c>
      <c r="K30" s="5">
        <v>4</v>
      </c>
      <c r="L30" s="48">
        <v>17697</v>
      </c>
      <c r="M30" s="70">
        <v>0.5</v>
      </c>
      <c r="N30" s="48"/>
      <c r="O30" s="48">
        <v>2.68</v>
      </c>
      <c r="P30" s="48">
        <f>L30*O30</f>
        <v>47427.960000000006</v>
      </c>
      <c r="Q30" s="49">
        <f t="shared" si="5"/>
        <v>0</v>
      </c>
      <c r="R30" s="50">
        <f t="shared" si="9"/>
        <v>0</v>
      </c>
      <c r="S30" s="51">
        <f t="shared" si="10"/>
        <v>0.1</v>
      </c>
      <c r="T30" s="50">
        <f t="shared" si="11"/>
        <v>2371.4</v>
      </c>
      <c r="U30" s="52">
        <v>0.4</v>
      </c>
      <c r="V30" s="53">
        <f t="shared" si="7"/>
        <v>3539.4</v>
      </c>
      <c r="W30" s="53">
        <f t="shared" si="4"/>
        <v>29624.78</v>
      </c>
      <c r="X30" s="222">
        <f>W30/M30</f>
        <v>59249.56</v>
      </c>
      <c r="Z30" s="7" t="str">
        <f t="shared" si="15"/>
        <v>Мруалиева Т.</v>
      </c>
      <c r="AA30" s="8">
        <f t="shared" si="16"/>
        <v>0.5</v>
      </c>
      <c r="AB30" s="8">
        <f>W30</f>
        <v>29624.78</v>
      </c>
      <c r="AC30" s="9"/>
      <c r="AD30" s="7"/>
      <c r="AE30" s="16"/>
      <c r="AF30" s="8"/>
    </row>
    <row r="31" spans="1:32" s="6" customFormat="1" ht="15" x14ac:dyDescent="0.25">
      <c r="A31" s="34">
        <v>19</v>
      </c>
      <c r="B31" s="46" t="str">
        <f>'[1]РАСЧЁТЫ по действующей сист16'!B38</f>
        <v>Жуманова М.С.</v>
      </c>
      <c r="C31" s="56" t="s">
        <v>73</v>
      </c>
      <c r="D31" s="4" t="s">
        <v>28</v>
      </c>
      <c r="E31" s="4" t="s">
        <v>239</v>
      </c>
      <c r="F31" s="4"/>
      <c r="G31" s="4"/>
      <c r="H31" s="4">
        <v>1</v>
      </c>
      <c r="I31" s="12"/>
      <c r="J31" s="12" t="s">
        <v>37</v>
      </c>
      <c r="K31" s="5">
        <v>2</v>
      </c>
      <c r="L31" s="48">
        <v>17697</v>
      </c>
      <c r="M31" s="70">
        <v>1</v>
      </c>
      <c r="N31" s="71"/>
      <c r="O31" s="48">
        <v>3.15</v>
      </c>
      <c r="P31" s="48">
        <f t="shared" si="8"/>
        <v>55745.549999999996</v>
      </c>
      <c r="Q31" s="49">
        <f t="shared" si="5"/>
        <v>0</v>
      </c>
      <c r="R31" s="50">
        <f t="shared" si="9"/>
        <v>0</v>
      </c>
      <c r="S31" s="51">
        <f t="shared" si="10"/>
        <v>0.1</v>
      </c>
      <c r="T31" s="50">
        <f t="shared" si="11"/>
        <v>5574.56</v>
      </c>
      <c r="U31" s="52">
        <v>0</v>
      </c>
      <c r="V31" s="53">
        <f t="shared" si="7"/>
        <v>0</v>
      </c>
      <c r="W31" s="53">
        <f t="shared" si="4"/>
        <v>61320.11</v>
      </c>
      <c r="X31" s="222">
        <f t="shared" si="6"/>
        <v>61320.11</v>
      </c>
      <c r="Z31" s="7" t="str">
        <f>B31</f>
        <v>Жуманова М.С.</v>
      </c>
      <c r="AA31" s="8">
        <f t="shared" si="16"/>
        <v>1</v>
      </c>
      <c r="AB31" s="8">
        <f>W31</f>
        <v>61320.11</v>
      </c>
      <c r="AC31" s="9"/>
      <c r="AD31" s="7"/>
      <c r="AE31" s="16"/>
      <c r="AF31" s="8"/>
    </row>
    <row r="32" spans="1:32" s="6" customFormat="1" ht="30" x14ac:dyDescent="0.25">
      <c r="A32" s="34">
        <v>20</v>
      </c>
      <c r="B32" s="46" t="s">
        <v>74</v>
      </c>
      <c r="C32" s="56" t="s">
        <v>75</v>
      </c>
      <c r="D32" s="4" t="s">
        <v>28</v>
      </c>
      <c r="E32" s="224" t="s">
        <v>236</v>
      </c>
      <c r="F32" s="4"/>
      <c r="G32" s="4"/>
      <c r="H32" s="4">
        <v>1</v>
      </c>
      <c r="I32" s="12" t="s">
        <v>48</v>
      </c>
      <c r="J32" s="12" t="s">
        <v>56</v>
      </c>
      <c r="K32" s="226">
        <v>3</v>
      </c>
      <c r="L32" s="48">
        <v>17697</v>
      </c>
      <c r="M32" s="70">
        <v>1.25</v>
      </c>
      <c r="N32" s="228">
        <v>2</v>
      </c>
      <c r="O32" s="225">
        <v>3.39</v>
      </c>
      <c r="P32" s="48">
        <f t="shared" si="8"/>
        <v>59992.83</v>
      </c>
      <c r="Q32" s="49">
        <f t="shared" si="5"/>
        <v>0</v>
      </c>
      <c r="R32" s="50">
        <f t="shared" si="9"/>
        <v>0</v>
      </c>
      <c r="S32" s="51">
        <f t="shared" si="10"/>
        <v>0.1</v>
      </c>
      <c r="T32" s="50">
        <f t="shared" si="11"/>
        <v>7499.1</v>
      </c>
      <c r="U32" s="52">
        <v>0.4</v>
      </c>
      <c r="V32" s="53">
        <f t="shared" si="7"/>
        <v>8848.5</v>
      </c>
      <c r="W32" s="53">
        <f t="shared" si="4"/>
        <v>91338.64</v>
      </c>
      <c r="X32" s="222">
        <f t="shared" si="6"/>
        <v>73070.911999999997</v>
      </c>
      <c r="Z32" s="7"/>
      <c r="AA32" s="8">
        <f t="shared" si="16"/>
        <v>1.25</v>
      </c>
      <c r="AB32" s="8"/>
      <c r="AC32" s="9"/>
      <c r="AD32" s="7" t="str">
        <f t="shared" ref="AD32:AD43" si="17">B32</f>
        <v>Оразалинов Б.Ж.</v>
      </c>
      <c r="AE32" s="16">
        <f t="shared" ref="AE32:AE43" si="18">M32</f>
        <v>1.25</v>
      </c>
      <c r="AF32" s="8">
        <f t="shared" ref="AF32:AF43" si="19">W32</f>
        <v>91338.64</v>
      </c>
    </row>
    <row r="33" spans="1:32" s="6" customFormat="1" ht="15" x14ac:dyDescent="0.25">
      <c r="A33" s="34">
        <v>21</v>
      </c>
      <c r="B33" s="46" t="s">
        <v>77</v>
      </c>
      <c r="C33" s="56" t="s">
        <v>78</v>
      </c>
      <c r="D33" s="4" t="s">
        <v>28</v>
      </c>
      <c r="E33" s="34" t="s">
        <v>230</v>
      </c>
      <c r="F33" s="4"/>
      <c r="G33" s="4"/>
      <c r="H33" s="4">
        <v>1</v>
      </c>
      <c r="I33" s="12" t="s">
        <v>48</v>
      </c>
      <c r="J33" s="12" t="s">
        <v>56</v>
      </c>
      <c r="K33" s="5">
        <v>4</v>
      </c>
      <c r="L33" s="48">
        <v>17697</v>
      </c>
      <c r="M33" s="70">
        <v>1.25</v>
      </c>
      <c r="N33" s="71"/>
      <c r="O33" s="48">
        <v>3.04</v>
      </c>
      <c r="P33" s="48">
        <f t="shared" si="8"/>
        <v>53798.879999999997</v>
      </c>
      <c r="Q33" s="49">
        <f t="shared" si="5"/>
        <v>0</v>
      </c>
      <c r="R33" s="50">
        <f t="shared" si="9"/>
        <v>0</v>
      </c>
      <c r="S33" s="51">
        <f t="shared" si="10"/>
        <v>0.1</v>
      </c>
      <c r="T33" s="50">
        <f t="shared" si="11"/>
        <v>6724.86</v>
      </c>
      <c r="U33" s="52">
        <v>0.4</v>
      </c>
      <c r="V33" s="53">
        <f t="shared" si="7"/>
        <v>8848.5</v>
      </c>
      <c r="W33" s="53">
        <f t="shared" si="4"/>
        <v>82821.960000000006</v>
      </c>
      <c r="X33" s="222">
        <f t="shared" si="6"/>
        <v>66257.567999999999</v>
      </c>
      <c r="Z33" s="7"/>
      <c r="AA33" s="8">
        <f t="shared" si="16"/>
        <v>1.25</v>
      </c>
      <c r="AB33" s="8"/>
      <c r="AC33" s="13"/>
      <c r="AD33" s="7" t="str">
        <f t="shared" si="17"/>
        <v>Слуту Л.С.</v>
      </c>
      <c r="AE33" s="16">
        <f t="shared" si="18"/>
        <v>1.25</v>
      </c>
      <c r="AF33" s="8">
        <f t="shared" si="19"/>
        <v>82821.960000000006</v>
      </c>
    </row>
    <row r="34" spans="1:32" s="6" customFormat="1" ht="15" x14ac:dyDescent="0.25">
      <c r="A34" s="34">
        <v>22</v>
      </c>
      <c r="B34" s="46" t="str">
        <f>'[1]РАСЧЁТЫ по действующей сист16'!B43</f>
        <v>Жампеисова М.Б.</v>
      </c>
      <c r="C34" s="56" t="s">
        <v>78</v>
      </c>
      <c r="D34" s="4" t="s">
        <v>35</v>
      </c>
      <c r="E34" s="4" t="s">
        <v>226</v>
      </c>
      <c r="F34" s="71"/>
      <c r="G34" s="71"/>
      <c r="H34" s="71" t="s">
        <v>65</v>
      </c>
      <c r="I34" s="12" t="s">
        <v>48</v>
      </c>
      <c r="J34" s="12" t="s">
        <v>49</v>
      </c>
      <c r="K34" s="5">
        <v>4</v>
      </c>
      <c r="L34" s="48">
        <v>17697</v>
      </c>
      <c r="M34" s="70">
        <v>1.25</v>
      </c>
      <c r="N34" s="5"/>
      <c r="O34" s="48">
        <v>2.48</v>
      </c>
      <c r="P34" s="48">
        <f t="shared" si="8"/>
        <v>43888.56</v>
      </c>
      <c r="Q34" s="49">
        <f t="shared" si="5"/>
        <v>0</v>
      </c>
      <c r="R34" s="50">
        <f t="shared" si="9"/>
        <v>0</v>
      </c>
      <c r="S34" s="51">
        <f t="shared" si="10"/>
        <v>0.1</v>
      </c>
      <c r="T34" s="50">
        <f t="shared" si="11"/>
        <v>5486.07</v>
      </c>
      <c r="U34" s="52">
        <v>0.4</v>
      </c>
      <c r="V34" s="53">
        <f t="shared" si="7"/>
        <v>8848.5</v>
      </c>
      <c r="W34" s="53">
        <f t="shared" si="4"/>
        <v>69195.27</v>
      </c>
      <c r="X34" s="222">
        <f t="shared" si="6"/>
        <v>55356.216</v>
      </c>
      <c r="Z34" s="7"/>
      <c r="AA34" s="8"/>
      <c r="AB34" s="8"/>
      <c r="AC34" s="13"/>
      <c r="AD34" s="7" t="str">
        <f t="shared" si="17"/>
        <v>Жампеисова М.Б.</v>
      </c>
      <c r="AE34" s="16">
        <f t="shared" si="18"/>
        <v>1.25</v>
      </c>
      <c r="AF34" s="8">
        <f t="shared" si="19"/>
        <v>69195.27</v>
      </c>
    </row>
    <row r="35" spans="1:32" s="6" customFormat="1" ht="15" x14ac:dyDescent="0.25">
      <c r="A35" s="34">
        <v>23</v>
      </c>
      <c r="B35" s="46" t="s">
        <v>81</v>
      </c>
      <c r="C35" s="56" t="s">
        <v>78</v>
      </c>
      <c r="D35" s="4" t="s">
        <v>35</v>
      </c>
      <c r="E35" s="4" t="s">
        <v>223</v>
      </c>
      <c r="F35" s="71"/>
      <c r="G35" s="71"/>
      <c r="H35" s="71" t="s">
        <v>65</v>
      </c>
      <c r="I35" s="12" t="s">
        <v>48</v>
      </c>
      <c r="J35" s="12" t="s">
        <v>49</v>
      </c>
      <c r="K35" s="5">
        <v>2</v>
      </c>
      <c r="L35" s="48">
        <v>17697</v>
      </c>
      <c r="M35" s="70">
        <v>1.25</v>
      </c>
      <c r="N35" s="5">
        <v>1</v>
      </c>
      <c r="O35" s="48">
        <v>3.41</v>
      </c>
      <c r="P35" s="48">
        <f t="shared" si="8"/>
        <v>60346.770000000004</v>
      </c>
      <c r="Q35" s="49">
        <f t="shared" si="5"/>
        <v>0</v>
      </c>
      <c r="R35" s="50">
        <f t="shared" si="9"/>
        <v>0</v>
      </c>
      <c r="S35" s="51">
        <f t="shared" si="10"/>
        <v>0.1</v>
      </c>
      <c r="T35" s="50">
        <f t="shared" si="11"/>
        <v>7543.35</v>
      </c>
      <c r="U35" s="52">
        <v>0.4</v>
      </c>
      <c r="V35" s="53">
        <f t="shared" si="7"/>
        <v>8848.5</v>
      </c>
      <c r="W35" s="53">
        <f t="shared" si="4"/>
        <v>91825.31</v>
      </c>
      <c r="X35" s="222">
        <f t="shared" si="6"/>
        <v>73460.247999999992</v>
      </c>
      <c r="Z35" s="7"/>
      <c r="AA35" s="8"/>
      <c r="AB35" s="8"/>
      <c r="AC35" s="13"/>
      <c r="AD35" s="7" t="str">
        <f t="shared" si="17"/>
        <v>Абдулова Е.В.</v>
      </c>
      <c r="AE35" s="16">
        <f t="shared" si="18"/>
        <v>1.25</v>
      </c>
      <c r="AF35" s="8">
        <f t="shared" si="19"/>
        <v>91825.31</v>
      </c>
    </row>
    <row r="36" spans="1:32" s="6" customFormat="1" ht="15" x14ac:dyDescent="0.25">
      <c r="A36" s="34">
        <v>24</v>
      </c>
      <c r="B36" s="46" t="str">
        <f>'[1]РАСЧЁТЫ по действующей сист16'!B45</f>
        <v>Болпак  У.Б.</v>
      </c>
      <c r="C36" s="56" t="s">
        <v>78</v>
      </c>
      <c r="D36" s="4" t="s">
        <v>28</v>
      </c>
      <c r="E36" s="4" t="s">
        <v>225</v>
      </c>
      <c r="F36" s="71"/>
      <c r="G36" s="71"/>
      <c r="H36" s="71" t="s">
        <v>65</v>
      </c>
      <c r="I36" s="12" t="s">
        <v>48</v>
      </c>
      <c r="J36" s="12" t="s">
        <v>56</v>
      </c>
      <c r="K36" s="5">
        <v>4</v>
      </c>
      <c r="L36" s="48">
        <v>17697</v>
      </c>
      <c r="M36" s="70">
        <v>1.25</v>
      </c>
      <c r="N36" s="5"/>
      <c r="O36" s="48">
        <v>3.1</v>
      </c>
      <c r="P36" s="48">
        <f t="shared" si="8"/>
        <v>54860.700000000004</v>
      </c>
      <c r="Q36" s="49">
        <f t="shared" si="5"/>
        <v>0</v>
      </c>
      <c r="R36" s="50">
        <f t="shared" si="9"/>
        <v>0</v>
      </c>
      <c r="S36" s="51">
        <f t="shared" si="10"/>
        <v>0.1</v>
      </c>
      <c r="T36" s="50">
        <f t="shared" si="11"/>
        <v>6857.59</v>
      </c>
      <c r="U36" s="52">
        <v>0.4</v>
      </c>
      <c r="V36" s="53">
        <f t="shared" si="7"/>
        <v>8848.5</v>
      </c>
      <c r="W36" s="53">
        <f t="shared" si="4"/>
        <v>84281.97</v>
      </c>
      <c r="X36" s="222">
        <f t="shared" si="6"/>
        <v>67425.576000000001</v>
      </c>
      <c r="Z36" s="7"/>
      <c r="AA36" s="8"/>
      <c r="AB36" s="8"/>
      <c r="AC36" s="13"/>
      <c r="AD36" s="7" t="str">
        <f t="shared" si="17"/>
        <v>Болпак  У.Б.</v>
      </c>
      <c r="AE36" s="16">
        <f t="shared" si="18"/>
        <v>1.25</v>
      </c>
      <c r="AF36" s="8">
        <f t="shared" si="19"/>
        <v>84281.97</v>
      </c>
    </row>
    <row r="37" spans="1:32" s="6" customFormat="1" ht="15" x14ac:dyDescent="0.25">
      <c r="A37" s="34">
        <v>25</v>
      </c>
      <c r="B37" s="46" t="s">
        <v>84</v>
      </c>
      <c r="C37" s="56" t="s">
        <v>78</v>
      </c>
      <c r="D37" s="12" t="s">
        <v>28</v>
      </c>
      <c r="E37" s="12" t="s">
        <v>224</v>
      </c>
      <c r="F37" s="71"/>
      <c r="G37" s="71"/>
      <c r="H37" s="71" t="s">
        <v>65</v>
      </c>
      <c r="I37" s="12" t="s">
        <v>48</v>
      </c>
      <c r="J37" s="12" t="s">
        <v>56</v>
      </c>
      <c r="K37" s="5">
        <v>3</v>
      </c>
      <c r="L37" s="48">
        <v>17697</v>
      </c>
      <c r="M37" s="70">
        <v>1.25</v>
      </c>
      <c r="N37" s="260">
        <v>2</v>
      </c>
      <c r="O37" s="48">
        <v>3.51</v>
      </c>
      <c r="P37" s="48">
        <f t="shared" si="8"/>
        <v>62116.469999999994</v>
      </c>
      <c r="Q37" s="49">
        <f t="shared" si="5"/>
        <v>0</v>
      </c>
      <c r="R37" s="50">
        <f t="shared" si="9"/>
        <v>0</v>
      </c>
      <c r="S37" s="51">
        <f t="shared" si="10"/>
        <v>0.1</v>
      </c>
      <c r="T37" s="50">
        <f t="shared" si="11"/>
        <v>7764.56</v>
      </c>
      <c r="U37" s="52">
        <v>0.4</v>
      </c>
      <c r="V37" s="53">
        <f t="shared" si="7"/>
        <v>8848.5</v>
      </c>
      <c r="W37" s="53">
        <f t="shared" si="4"/>
        <v>94258.65</v>
      </c>
      <c r="X37" s="222">
        <f t="shared" si="6"/>
        <v>75406.92</v>
      </c>
      <c r="Z37" s="7"/>
      <c r="AA37" s="8"/>
      <c r="AB37" s="8"/>
      <c r="AC37" s="13"/>
      <c r="AD37" s="7" t="str">
        <f t="shared" si="17"/>
        <v>Абыкеева К.К</v>
      </c>
      <c r="AE37" s="16">
        <f t="shared" si="18"/>
        <v>1.25</v>
      </c>
      <c r="AF37" s="8">
        <f t="shared" si="19"/>
        <v>94258.65</v>
      </c>
    </row>
    <row r="38" spans="1:32" s="6" customFormat="1" ht="15" x14ac:dyDescent="0.25">
      <c r="A38" s="34">
        <v>26</v>
      </c>
      <c r="B38" s="46" t="str">
        <f>'[1]РАСЧЁТЫ по действующей сист16'!B47</f>
        <v>Рыскалиева Г.С.</v>
      </c>
      <c r="C38" s="56" t="s">
        <v>78</v>
      </c>
      <c r="D38" s="12" t="s">
        <v>28</v>
      </c>
      <c r="E38" s="12" t="s">
        <v>229</v>
      </c>
      <c r="F38" s="71"/>
      <c r="G38" s="71"/>
      <c r="H38" s="71" t="s">
        <v>65</v>
      </c>
      <c r="I38" s="12" t="s">
        <v>48</v>
      </c>
      <c r="J38" s="12" t="s">
        <v>56</v>
      </c>
      <c r="K38" s="5">
        <v>3</v>
      </c>
      <c r="L38" s="48">
        <v>17697</v>
      </c>
      <c r="M38" s="70">
        <v>1.25</v>
      </c>
      <c r="N38" s="5">
        <v>2</v>
      </c>
      <c r="O38" s="48">
        <v>3.57</v>
      </c>
      <c r="P38" s="48">
        <f t="shared" si="8"/>
        <v>63178.289999999994</v>
      </c>
      <c r="Q38" s="49">
        <f t="shared" si="5"/>
        <v>0</v>
      </c>
      <c r="R38" s="50">
        <f t="shared" si="9"/>
        <v>0</v>
      </c>
      <c r="S38" s="51">
        <f t="shared" si="10"/>
        <v>0.1</v>
      </c>
      <c r="T38" s="50">
        <f t="shared" si="11"/>
        <v>7897.29</v>
      </c>
      <c r="U38" s="52">
        <v>0.4</v>
      </c>
      <c r="V38" s="53">
        <f t="shared" si="7"/>
        <v>8848.5</v>
      </c>
      <c r="W38" s="53">
        <f t="shared" si="4"/>
        <v>95718.65</v>
      </c>
      <c r="X38" s="222">
        <f t="shared" si="6"/>
        <v>76574.92</v>
      </c>
      <c r="Z38" s="7"/>
      <c r="AA38" s="8"/>
      <c r="AB38" s="8"/>
      <c r="AC38" s="13"/>
      <c r="AD38" s="7" t="str">
        <f t="shared" si="17"/>
        <v>Рыскалиева Г.С.</v>
      </c>
      <c r="AE38" s="16">
        <f t="shared" si="18"/>
        <v>1.25</v>
      </c>
      <c r="AF38" s="8">
        <f t="shared" si="19"/>
        <v>95718.65</v>
      </c>
    </row>
    <row r="39" spans="1:32" s="6" customFormat="1" ht="15" x14ac:dyDescent="0.25">
      <c r="A39" s="34">
        <v>27</v>
      </c>
      <c r="B39" s="46" t="s">
        <v>87</v>
      </c>
      <c r="C39" s="56" t="s">
        <v>78</v>
      </c>
      <c r="D39" s="12" t="s">
        <v>28</v>
      </c>
      <c r="E39" s="71" t="s">
        <v>227</v>
      </c>
      <c r="F39" s="71"/>
      <c r="G39" s="71"/>
      <c r="H39" s="71" t="s">
        <v>65</v>
      </c>
      <c r="I39" s="12" t="s">
        <v>48</v>
      </c>
      <c r="J39" s="12" t="s">
        <v>56</v>
      </c>
      <c r="K39" s="5">
        <v>2</v>
      </c>
      <c r="L39" s="48">
        <v>17697</v>
      </c>
      <c r="M39" s="70">
        <v>1.25</v>
      </c>
      <c r="N39" s="5">
        <v>1</v>
      </c>
      <c r="O39" s="48">
        <v>3.86</v>
      </c>
      <c r="P39" s="48">
        <f t="shared" si="8"/>
        <v>68310.42</v>
      </c>
      <c r="Q39" s="49">
        <f t="shared" si="5"/>
        <v>0</v>
      </c>
      <c r="R39" s="50">
        <f t="shared" si="9"/>
        <v>0</v>
      </c>
      <c r="S39" s="51">
        <f t="shared" si="10"/>
        <v>0.1</v>
      </c>
      <c r="T39" s="50">
        <f t="shared" si="11"/>
        <v>8538.7999999999993</v>
      </c>
      <c r="U39" s="52">
        <v>0.4</v>
      </c>
      <c r="V39" s="53">
        <f t="shared" si="7"/>
        <v>8848.5</v>
      </c>
      <c r="W39" s="53">
        <f t="shared" si="4"/>
        <v>102775.33</v>
      </c>
      <c r="X39" s="222">
        <f t="shared" si="6"/>
        <v>82220.263999999996</v>
      </c>
      <c r="Z39" s="7"/>
      <c r="AA39" s="8"/>
      <c r="AB39" s="8"/>
      <c r="AC39" s="13"/>
      <c r="AD39" s="7" t="str">
        <f t="shared" si="17"/>
        <v>Жанзакова З. К.</v>
      </c>
      <c r="AE39" s="16">
        <f t="shared" si="18"/>
        <v>1.25</v>
      </c>
      <c r="AF39" s="8">
        <f t="shared" si="19"/>
        <v>102775.33</v>
      </c>
    </row>
    <row r="40" spans="1:32" s="6" customFormat="1" ht="15" x14ac:dyDescent="0.25">
      <c r="A40" s="34">
        <v>28</v>
      </c>
      <c r="B40" s="46" t="s">
        <v>221</v>
      </c>
      <c r="C40" s="56" t="s">
        <v>78</v>
      </c>
      <c r="D40" s="12" t="s">
        <v>28</v>
      </c>
      <c r="E40" s="71" t="s">
        <v>250</v>
      </c>
      <c r="F40" s="71"/>
      <c r="G40" s="71"/>
      <c r="H40" s="71" t="s">
        <v>65</v>
      </c>
      <c r="I40" s="12" t="s">
        <v>48</v>
      </c>
      <c r="J40" s="12" t="s">
        <v>56</v>
      </c>
      <c r="K40" s="5">
        <v>2</v>
      </c>
      <c r="L40" s="48">
        <v>17697</v>
      </c>
      <c r="M40" s="70">
        <v>1.25</v>
      </c>
      <c r="N40" s="5">
        <v>1</v>
      </c>
      <c r="O40" s="48">
        <v>3.68</v>
      </c>
      <c r="P40" s="48">
        <f t="shared" si="8"/>
        <v>65124.960000000006</v>
      </c>
      <c r="Q40" s="49">
        <f t="shared" si="5"/>
        <v>0</v>
      </c>
      <c r="R40" s="50">
        <f t="shared" si="9"/>
        <v>0</v>
      </c>
      <c r="S40" s="51">
        <f t="shared" si="10"/>
        <v>0.1</v>
      </c>
      <c r="T40" s="50">
        <f t="shared" si="11"/>
        <v>8140.62</v>
      </c>
      <c r="U40" s="52">
        <v>0.4</v>
      </c>
      <c r="V40" s="53">
        <f t="shared" si="7"/>
        <v>8848.5</v>
      </c>
      <c r="W40" s="53">
        <f t="shared" si="4"/>
        <v>98395.32</v>
      </c>
      <c r="X40" s="222">
        <f t="shared" si="6"/>
        <v>78716.256000000008</v>
      </c>
      <c r="Z40" s="7"/>
      <c r="AA40" s="8"/>
      <c r="AB40" s="8"/>
      <c r="AC40" s="13"/>
      <c r="AD40" s="7" t="str">
        <f t="shared" si="17"/>
        <v>Алинова А.М.</v>
      </c>
      <c r="AE40" s="16">
        <f t="shared" si="18"/>
        <v>1.25</v>
      </c>
      <c r="AF40" s="8">
        <f t="shared" si="19"/>
        <v>98395.32</v>
      </c>
    </row>
    <row r="41" spans="1:32" s="6" customFormat="1" ht="15" x14ac:dyDescent="0.25">
      <c r="A41" s="34">
        <v>29</v>
      </c>
      <c r="B41" s="46" t="str">
        <f>'[1]РАСЧЁТЫ по действующей сист16'!B51</f>
        <v>Молдабаева А.Д.</v>
      </c>
      <c r="C41" s="56" t="s">
        <v>78</v>
      </c>
      <c r="D41" s="12" t="s">
        <v>28</v>
      </c>
      <c r="E41" s="71" t="s">
        <v>249</v>
      </c>
      <c r="F41" s="71"/>
      <c r="G41" s="71"/>
      <c r="H41" s="71" t="s">
        <v>65</v>
      </c>
      <c r="I41" s="12" t="s">
        <v>48</v>
      </c>
      <c r="J41" s="12" t="s">
        <v>56</v>
      </c>
      <c r="K41" s="5">
        <v>4</v>
      </c>
      <c r="L41" s="48">
        <v>17697</v>
      </c>
      <c r="M41" s="70">
        <v>1.25</v>
      </c>
      <c r="N41" s="71"/>
      <c r="O41" s="48">
        <v>2.87</v>
      </c>
      <c r="P41" s="48">
        <f t="shared" si="8"/>
        <v>50790.39</v>
      </c>
      <c r="Q41" s="49">
        <f t="shared" si="5"/>
        <v>0</v>
      </c>
      <c r="R41" s="50">
        <f t="shared" si="9"/>
        <v>0</v>
      </c>
      <c r="S41" s="51">
        <f t="shared" si="10"/>
        <v>0.1</v>
      </c>
      <c r="T41" s="50">
        <f t="shared" si="11"/>
        <v>6348.8</v>
      </c>
      <c r="U41" s="52">
        <v>0.4</v>
      </c>
      <c r="V41" s="53">
        <f t="shared" si="7"/>
        <v>8848.5</v>
      </c>
      <c r="W41" s="53">
        <f t="shared" si="4"/>
        <v>78685.289999999994</v>
      </c>
      <c r="X41" s="222">
        <f t="shared" si="6"/>
        <v>62948.231999999996</v>
      </c>
      <c r="Z41" s="7"/>
      <c r="AA41" s="8"/>
      <c r="AB41" s="8"/>
      <c r="AC41" s="13"/>
      <c r="AD41" s="7" t="str">
        <f t="shared" si="17"/>
        <v>Молдабаева А.Д.</v>
      </c>
      <c r="AE41" s="16">
        <f t="shared" si="18"/>
        <v>1.25</v>
      </c>
      <c r="AF41" s="8">
        <f t="shared" si="19"/>
        <v>78685.289999999994</v>
      </c>
    </row>
    <row r="42" spans="1:32" s="6" customFormat="1" ht="15" x14ac:dyDescent="0.25">
      <c r="A42" s="34">
        <v>30</v>
      </c>
      <c r="B42" s="46" t="str">
        <f>'[1]РАСЧЁТЫ по действующей сист16'!B52</f>
        <v>Манарова Р.О.</v>
      </c>
      <c r="C42" s="56" t="s">
        <v>78</v>
      </c>
      <c r="D42" s="12" t="s">
        <v>28</v>
      </c>
      <c r="E42" s="71" t="s">
        <v>228</v>
      </c>
      <c r="F42" s="71"/>
      <c r="G42" s="71"/>
      <c r="H42" s="71" t="s">
        <v>65</v>
      </c>
      <c r="I42" s="12" t="s">
        <v>48</v>
      </c>
      <c r="J42" s="12" t="s">
        <v>56</v>
      </c>
      <c r="K42" s="5">
        <v>4</v>
      </c>
      <c r="L42" s="48">
        <v>17697</v>
      </c>
      <c r="M42" s="70">
        <v>1.25</v>
      </c>
      <c r="N42" s="71"/>
      <c r="O42" s="48">
        <v>3.28</v>
      </c>
      <c r="P42" s="48">
        <f t="shared" si="8"/>
        <v>58046.159999999996</v>
      </c>
      <c r="Q42" s="49">
        <f t="shared" si="5"/>
        <v>0</v>
      </c>
      <c r="R42" s="50">
        <f t="shared" si="9"/>
        <v>0</v>
      </c>
      <c r="S42" s="51">
        <f t="shared" si="10"/>
        <v>0.1</v>
      </c>
      <c r="T42" s="50">
        <f t="shared" si="11"/>
        <v>7255.77</v>
      </c>
      <c r="U42" s="52">
        <v>0.4</v>
      </c>
      <c r="V42" s="53">
        <f t="shared" si="7"/>
        <v>8848.5</v>
      </c>
      <c r="W42" s="53">
        <f t="shared" si="4"/>
        <v>88661.97</v>
      </c>
      <c r="X42" s="222">
        <f t="shared" si="6"/>
        <v>70929.576000000001</v>
      </c>
      <c r="Z42" s="7"/>
      <c r="AA42" s="8"/>
      <c r="AB42" s="8"/>
      <c r="AC42" s="13"/>
      <c r="AD42" s="7" t="str">
        <f t="shared" si="17"/>
        <v>Манарова Р.О.</v>
      </c>
      <c r="AE42" s="16">
        <f t="shared" si="18"/>
        <v>1.25</v>
      </c>
      <c r="AF42" s="8">
        <f t="shared" si="19"/>
        <v>88661.97</v>
      </c>
    </row>
    <row r="43" spans="1:32" s="6" customFormat="1" ht="45" x14ac:dyDescent="0.25">
      <c r="A43" s="34">
        <v>31</v>
      </c>
      <c r="B43" s="46" t="str">
        <f>'[1]РАСЧЁТЫ по действующей сист16'!B73</f>
        <v>Никифоров Л.</v>
      </c>
      <c r="C43" s="56" t="s">
        <v>92</v>
      </c>
      <c r="D43" s="4" t="s">
        <v>28</v>
      </c>
      <c r="E43" s="4" t="s">
        <v>199</v>
      </c>
      <c r="F43" s="4"/>
      <c r="G43" s="4"/>
      <c r="H43" s="4">
        <v>1</v>
      </c>
      <c r="I43" s="12"/>
      <c r="J43" s="12"/>
      <c r="K43" s="5" t="s">
        <v>94</v>
      </c>
      <c r="L43" s="48">
        <v>17697</v>
      </c>
      <c r="M43" s="70">
        <v>0.25</v>
      </c>
      <c r="N43" s="71"/>
      <c r="O43" s="48">
        <v>1.84</v>
      </c>
      <c r="P43" s="48">
        <f t="shared" si="8"/>
        <v>32562.480000000003</v>
      </c>
      <c r="Q43" s="49">
        <f t="shared" si="5"/>
        <v>0</v>
      </c>
      <c r="R43" s="50">
        <f t="shared" si="9"/>
        <v>0</v>
      </c>
      <c r="S43" s="51">
        <f t="shared" si="10"/>
        <v>0.1</v>
      </c>
      <c r="T43" s="50">
        <f t="shared" si="11"/>
        <v>814.06</v>
      </c>
      <c r="U43" s="52"/>
      <c r="V43" s="53">
        <f t="shared" si="7"/>
        <v>0</v>
      </c>
      <c r="W43" s="53">
        <f t="shared" si="4"/>
        <v>8954.68</v>
      </c>
      <c r="X43" s="222">
        <f t="shared" si="6"/>
        <v>35818.720000000001</v>
      </c>
      <c r="Z43" s="7"/>
      <c r="AA43" s="8"/>
      <c r="AB43" s="8"/>
      <c r="AC43" s="9"/>
      <c r="AD43" s="7" t="str">
        <f t="shared" si="17"/>
        <v>Никифоров Л.</v>
      </c>
      <c r="AE43" s="16">
        <f t="shared" si="18"/>
        <v>0.25</v>
      </c>
      <c r="AF43" s="8">
        <f t="shared" si="19"/>
        <v>8954.68</v>
      </c>
    </row>
    <row r="44" spans="1:32" s="6" customFormat="1" ht="15" x14ac:dyDescent="0.25">
      <c r="A44" s="34">
        <v>32</v>
      </c>
      <c r="B44" s="46" t="str">
        <f>'[1]РАСЧЁТЫ по действующей сист16'!B76</f>
        <v>Кабылдина Л.Ж.</v>
      </c>
      <c r="C44" s="56" t="s">
        <v>95</v>
      </c>
      <c r="D44" s="4" t="s">
        <v>35</v>
      </c>
      <c r="E44" s="71" t="s">
        <v>41</v>
      </c>
      <c r="F44" s="71"/>
      <c r="G44" s="71"/>
      <c r="H44" s="71" t="s">
        <v>65</v>
      </c>
      <c r="I44" s="12"/>
      <c r="J44" s="12"/>
      <c r="K44" s="5" t="s">
        <v>94</v>
      </c>
      <c r="L44" s="48">
        <v>17697</v>
      </c>
      <c r="M44" s="70">
        <v>1.25</v>
      </c>
      <c r="N44" s="57"/>
      <c r="O44" s="48">
        <v>2.06</v>
      </c>
      <c r="P44" s="48">
        <f>L44*O44</f>
        <v>36455.82</v>
      </c>
      <c r="Q44" s="49">
        <f t="shared" si="5"/>
        <v>0</v>
      </c>
      <c r="R44" s="50">
        <f t="shared" si="9"/>
        <v>0</v>
      </c>
      <c r="S44" s="51">
        <f t="shared" si="10"/>
        <v>0.1</v>
      </c>
      <c r="T44" s="50">
        <f>ROUND(P44*S44*M44,2)</f>
        <v>4556.9799999999996</v>
      </c>
      <c r="U44" s="52">
        <v>0.7</v>
      </c>
      <c r="V44" s="53">
        <f t="shared" si="7"/>
        <v>15484.875</v>
      </c>
      <c r="W44" s="53">
        <f>ROUND(P44*M44+T44+R44+V44,2)</f>
        <v>65611.63</v>
      </c>
      <c r="X44" s="222">
        <f t="shared" si="6"/>
        <v>52489.304000000004</v>
      </c>
      <c r="Z44" s="7" t="str">
        <f t="shared" ref="Z44:Z48" si="20">B44</f>
        <v>Кабылдина Л.Ж.</v>
      </c>
      <c r="AA44" s="8">
        <f>M44</f>
        <v>1.25</v>
      </c>
      <c r="AB44" s="8">
        <f>W44</f>
        <v>65611.63</v>
      </c>
      <c r="AC44" s="9"/>
      <c r="AD44" s="7"/>
      <c r="AE44" s="16"/>
      <c r="AF44" s="8"/>
    </row>
    <row r="45" spans="1:32" s="6" customFormat="1" ht="15" x14ac:dyDescent="0.25">
      <c r="A45" s="34">
        <v>33</v>
      </c>
      <c r="B45" s="46" t="str">
        <f>'[1]РАСЧЁТЫ по действующей сист16'!B77</f>
        <v>Сагимбаева Ж.Ж.</v>
      </c>
      <c r="C45" s="56" t="s">
        <v>95</v>
      </c>
      <c r="D45" s="4" t="s">
        <v>35</v>
      </c>
      <c r="E45" s="71" t="s">
        <v>245</v>
      </c>
      <c r="F45" s="71"/>
      <c r="G45" s="71"/>
      <c r="H45" s="71" t="s">
        <v>65</v>
      </c>
      <c r="I45" s="12"/>
      <c r="J45" s="12"/>
      <c r="K45" s="5" t="s">
        <v>94</v>
      </c>
      <c r="L45" s="48">
        <v>17697</v>
      </c>
      <c r="M45" s="70">
        <v>1.25</v>
      </c>
      <c r="N45" s="57"/>
      <c r="O45" s="48">
        <v>1.84</v>
      </c>
      <c r="P45" s="48">
        <f t="shared" si="8"/>
        <v>32562.480000000003</v>
      </c>
      <c r="Q45" s="49">
        <f t="shared" si="5"/>
        <v>0</v>
      </c>
      <c r="R45" s="50">
        <f t="shared" si="9"/>
        <v>0</v>
      </c>
      <c r="S45" s="51">
        <f t="shared" si="10"/>
        <v>0.1</v>
      </c>
      <c r="T45" s="50">
        <f t="shared" si="11"/>
        <v>4070.31</v>
      </c>
      <c r="U45" s="52">
        <v>0.7</v>
      </c>
      <c r="V45" s="53">
        <f t="shared" si="7"/>
        <v>15484.875</v>
      </c>
      <c r="W45" s="53">
        <f t="shared" si="4"/>
        <v>60258.29</v>
      </c>
      <c r="X45" s="222">
        <f t="shared" si="6"/>
        <v>48206.631999999998</v>
      </c>
      <c r="Z45" s="7" t="str">
        <f t="shared" si="20"/>
        <v>Сагимбаева Ж.Ж.</v>
      </c>
      <c r="AA45" s="8">
        <f>M45</f>
        <v>1.25</v>
      </c>
      <c r="AB45" s="8">
        <f>W45</f>
        <v>60258.29</v>
      </c>
      <c r="AC45" s="9"/>
      <c r="AD45" s="7"/>
      <c r="AE45" s="16"/>
      <c r="AF45" s="8"/>
    </row>
    <row r="46" spans="1:32" s="6" customFormat="1" ht="15" x14ac:dyDescent="0.25">
      <c r="A46" s="34">
        <v>34</v>
      </c>
      <c r="B46" s="46" t="s">
        <v>97</v>
      </c>
      <c r="C46" s="56" t="s">
        <v>95</v>
      </c>
      <c r="D46" s="4" t="s">
        <v>35</v>
      </c>
      <c r="E46" s="71" t="s">
        <v>41</v>
      </c>
      <c r="F46" s="71"/>
      <c r="G46" s="71"/>
      <c r="H46" s="71" t="s">
        <v>65</v>
      </c>
      <c r="I46" s="12"/>
      <c r="J46" s="12"/>
      <c r="K46" s="5" t="s">
        <v>94</v>
      </c>
      <c r="L46" s="48">
        <v>17697</v>
      </c>
      <c r="M46" s="70">
        <v>1.25</v>
      </c>
      <c r="N46" s="57"/>
      <c r="O46" s="48">
        <v>1.64</v>
      </c>
      <c r="P46" s="48">
        <f t="shared" si="8"/>
        <v>29023.079999999998</v>
      </c>
      <c r="Q46" s="49">
        <f t="shared" si="5"/>
        <v>0</v>
      </c>
      <c r="R46" s="50">
        <f t="shared" si="9"/>
        <v>0</v>
      </c>
      <c r="S46" s="51">
        <f t="shared" si="10"/>
        <v>0.1</v>
      </c>
      <c r="T46" s="50">
        <f t="shared" si="11"/>
        <v>3627.89</v>
      </c>
      <c r="U46" s="52">
        <v>0.7</v>
      </c>
      <c r="V46" s="53">
        <f t="shared" si="7"/>
        <v>15484.875</v>
      </c>
      <c r="W46" s="53">
        <f t="shared" si="4"/>
        <v>55391.62</v>
      </c>
      <c r="X46" s="222">
        <f t="shared" si="6"/>
        <v>44313.296000000002</v>
      </c>
      <c r="Z46" s="7" t="str">
        <f t="shared" si="20"/>
        <v>Арынова С. Ж.</v>
      </c>
      <c r="AA46" s="8">
        <f>M46</f>
        <v>1.25</v>
      </c>
      <c r="AB46" s="8">
        <f>W46</f>
        <v>55391.62</v>
      </c>
      <c r="AC46" s="9"/>
      <c r="AD46" s="7"/>
      <c r="AE46" s="16"/>
      <c r="AF46" s="8"/>
    </row>
    <row r="47" spans="1:32" s="6" customFormat="1" ht="15" x14ac:dyDescent="0.25">
      <c r="A47" s="34">
        <v>35</v>
      </c>
      <c r="B47" s="46" t="s">
        <v>217</v>
      </c>
      <c r="C47" s="56" t="s">
        <v>95</v>
      </c>
      <c r="D47" s="4" t="s">
        <v>35</v>
      </c>
      <c r="E47" s="71" t="s">
        <v>247</v>
      </c>
      <c r="F47" s="71"/>
      <c r="G47" s="71"/>
      <c r="H47" s="71" t="s">
        <v>65</v>
      </c>
      <c r="I47" s="12"/>
      <c r="J47" s="12"/>
      <c r="K47" s="5" t="s">
        <v>94</v>
      </c>
      <c r="L47" s="48">
        <v>17697</v>
      </c>
      <c r="M47" s="70">
        <v>1.25</v>
      </c>
      <c r="N47" s="57"/>
      <c r="O47" s="48">
        <v>1.8</v>
      </c>
      <c r="P47" s="48">
        <f t="shared" si="8"/>
        <v>31854.600000000002</v>
      </c>
      <c r="Q47" s="49">
        <f t="shared" si="5"/>
        <v>0</v>
      </c>
      <c r="R47" s="50">
        <f t="shared" si="9"/>
        <v>0</v>
      </c>
      <c r="S47" s="51">
        <f t="shared" si="10"/>
        <v>0.1</v>
      </c>
      <c r="T47" s="50">
        <f t="shared" si="11"/>
        <v>3981.83</v>
      </c>
      <c r="U47" s="52">
        <v>0.7</v>
      </c>
      <c r="V47" s="53">
        <f t="shared" si="7"/>
        <v>15484.875</v>
      </c>
      <c r="W47" s="53">
        <f t="shared" si="4"/>
        <v>59284.959999999999</v>
      </c>
      <c r="X47" s="222">
        <f t="shared" si="6"/>
        <v>47427.968000000001</v>
      </c>
      <c r="Z47" s="7" t="str">
        <f t="shared" si="20"/>
        <v>Алтыбаева Р.Ш.</v>
      </c>
      <c r="AA47" s="8">
        <f>M47</f>
        <v>1.25</v>
      </c>
      <c r="AB47" s="8">
        <f>W47</f>
        <v>59284.959999999999</v>
      </c>
      <c r="AC47" s="9"/>
      <c r="AD47" s="7"/>
      <c r="AE47" s="16"/>
      <c r="AF47" s="8"/>
    </row>
    <row r="48" spans="1:32" s="6" customFormat="1" ht="15" x14ac:dyDescent="0.25">
      <c r="A48" s="34">
        <v>36</v>
      </c>
      <c r="B48" s="46" t="str">
        <f>'[1]РАСЧЁТЫ по действующей сист16'!B80</f>
        <v>Ибрагимова К.К.</v>
      </c>
      <c r="C48" s="56" t="s">
        <v>95</v>
      </c>
      <c r="D48" s="4" t="s">
        <v>35</v>
      </c>
      <c r="E48" s="71" t="s">
        <v>246</v>
      </c>
      <c r="F48" s="71"/>
      <c r="G48" s="71"/>
      <c r="H48" s="71" t="s">
        <v>65</v>
      </c>
      <c r="I48" s="12"/>
      <c r="J48" s="12"/>
      <c r="K48" s="5" t="s">
        <v>94</v>
      </c>
      <c r="L48" s="48">
        <v>17697</v>
      </c>
      <c r="M48" s="70">
        <v>1.25</v>
      </c>
      <c r="N48" s="57"/>
      <c r="O48" s="48">
        <v>1.76</v>
      </c>
      <c r="P48" s="48">
        <f t="shared" si="8"/>
        <v>31146.720000000001</v>
      </c>
      <c r="Q48" s="49">
        <f t="shared" si="5"/>
        <v>0</v>
      </c>
      <c r="R48" s="50">
        <f t="shared" si="9"/>
        <v>0</v>
      </c>
      <c r="S48" s="51">
        <f t="shared" si="10"/>
        <v>0.1</v>
      </c>
      <c r="T48" s="50">
        <f t="shared" si="11"/>
        <v>3893.34</v>
      </c>
      <c r="U48" s="52">
        <v>0.7</v>
      </c>
      <c r="V48" s="53">
        <f t="shared" si="7"/>
        <v>15484.875</v>
      </c>
      <c r="W48" s="53">
        <f t="shared" si="4"/>
        <v>58311.62</v>
      </c>
      <c r="X48" s="222">
        <f t="shared" si="6"/>
        <v>46649.296000000002</v>
      </c>
      <c r="Z48" s="7" t="str">
        <f t="shared" si="20"/>
        <v>Ибрагимова К.К.</v>
      </c>
      <c r="AA48" s="8">
        <f>M48</f>
        <v>1.25</v>
      </c>
      <c r="AB48" s="8">
        <f>W48</f>
        <v>58311.62</v>
      </c>
      <c r="AC48" s="9"/>
      <c r="AD48" s="7"/>
      <c r="AE48" s="16"/>
      <c r="AF48" s="8"/>
    </row>
    <row r="49" spans="1:34" s="6" customFormat="1" ht="30.75" thickBot="1" x14ac:dyDescent="0.3">
      <c r="A49" s="34">
        <v>37</v>
      </c>
      <c r="B49" s="46" t="str">
        <f>'[1]РАСЧЁТЫ по действующей сист16'!B90</f>
        <v>Аллахвердиева И.В.</v>
      </c>
      <c r="C49" s="56" t="s">
        <v>99</v>
      </c>
      <c r="D49" s="4" t="s">
        <v>28</v>
      </c>
      <c r="E49" s="71" t="s">
        <v>232</v>
      </c>
      <c r="F49" s="71"/>
      <c r="G49" s="71"/>
      <c r="H49" s="71" t="s">
        <v>65</v>
      </c>
      <c r="I49" s="12" t="s">
        <v>48</v>
      </c>
      <c r="J49" s="12" t="s">
        <v>56</v>
      </c>
      <c r="K49" s="5">
        <v>1</v>
      </c>
      <c r="L49" s="48">
        <v>17697</v>
      </c>
      <c r="M49" s="70">
        <v>1.25</v>
      </c>
      <c r="N49" s="71" t="s">
        <v>101</v>
      </c>
      <c r="O49" s="48">
        <v>4.26</v>
      </c>
      <c r="P49" s="48">
        <f t="shared" si="8"/>
        <v>75389.22</v>
      </c>
      <c r="Q49" s="49">
        <f t="shared" si="5"/>
        <v>0</v>
      </c>
      <c r="R49" s="50">
        <f t="shared" si="9"/>
        <v>0</v>
      </c>
      <c r="S49" s="51">
        <f t="shared" si="10"/>
        <v>0.1</v>
      </c>
      <c r="T49" s="50">
        <f t="shared" si="11"/>
        <v>9423.65</v>
      </c>
      <c r="U49" s="52">
        <v>0.4</v>
      </c>
      <c r="V49" s="53">
        <f t="shared" si="7"/>
        <v>8848.5</v>
      </c>
      <c r="W49" s="53">
        <f t="shared" si="4"/>
        <v>112508.68</v>
      </c>
      <c r="X49" s="222">
        <f t="shared" si="6"/>
        <v>90006.943999999989</v>
      </c>
      <c r="Y49" s="11"/>
      <c r="Z49" s="7"/>
      <c r="AA49" s="8"/>
      <c r="AB49" s="8"/>
      <c r="AC49" s="13"/>
      <c r="AD49" s="7" t="str">
        <f>B49</f>
        <v>Аллахвердиева И.В.</v>
      </c>
      <c r="AE49" s="16">
        <f>M49</f>
        <v>1.25</v>
      </c>
      <c r="AF49" s="8">
        <f>W49</f>
        <v>112508.68</v>
      </c>
    </row>
    <row r="50" spans="1:34" s="6" customFormat="1" ht="15.75" thickBot="1" x14ac:dyDescent="0.3">
      <c r="A50" s="528" t="s">
        <v>102</v>
      </c>
      <c r="B50" s="529"/>
      <c r="C50" s="529"/>
      <c r="D50" s="529"/>
      <c r="E50" s="256"/>
      <c r="F50" s="256"/>
      <c r="G50" s="256"/>
      <c r="H50" s="256"/>
      <c r="I50" s="256"/>
      <c r="J50" s="256"/>
      <c r="K50" s="256"/>
      <c r="L50" s="258"/>
      <c r="M50" s="258">
        <f>SUM(M16:M49)</f>
        <v>34.25</v>
      </c>
      <c r="N50" s="258"/>
      <c r="O50" s="258"/>
      <c r="P50" s="258">
        <f>SUM(P16:P49)</f>
        <v>1799253.99</v>
      </c>
      <c r="Q50" s="258"/>
      <c r="R50" s="259">
        <f>SUM(R16:R49)</f>
        <v>0</v>
      </c>
      <c r="S50" s="259"/>
      <c r="T50" s="259">
        <f>SUM(T16:T49)</f>
        <v>180558.11</v>
      </c>
      <c r="U50" s="259">
        <f>SUM(U21:U49)</f>
        <v>11.899999999999999</v>
      </c>
      <c r="V50" s="259">
        <f>SUM(V16:V49)</f>
        <v>263242.875</v>
      </c>
      <c r="W50" s="261">
        <f>SUM(W16:W49)</f>
        <v>2249381.6900000004</v>
      </c>
      <c r="X50" s="11"/>
      <c r="Z50" s="7" t="s">
        <v>103</v>
      </c>
      <c r="AA50" s="53">
        <f>SUM(AA16:AA49)</f>
        <v>11.75</v>
      </c>
      <c r="AB50" s="53">
        <f>SUM(AB16:AB49)</f>
        <v>488118.69</v>
      </c>
      <c r="AC50" s="13"/>
      <c r="AD50" s="7" t="s">
        <v>104</v>
      </c>
      <c r="AE50" s="53">
        <f>SUM(AE16:AE49)</f>
        <v>24</v>
      </c>
      <c r="AF50" s="53">
        <f>SUM(AF16:AF49)</f>
        <v>1694226.7599999998</v>
      </c>
      <c r="AH50" s="11"/>
    </row>
    <row r="51" spans="1:34" s="6" customFormat="1" ht="15" x14ac:dyDescent="0.25">
      <c r="A51" s="4">
        <v>38</v>
      </c>
      <c r="B51" s="240" t="s">
        <v>105</v>
      </c>
      <c r="C51" s="67" t="s">
        <v>106</v>
      </c>
      <c r="D51" s="4" t="s">
        <v>35</v>
      </c>
      <c r="E51" s="4" t="s">
        <v>41</v>
      </c>
      <c r="F51" s="241"/>
      <c r="G51" s="241"/>
      <c r="H51" s="4">
        <v>1</v>
      </c>
      <c r="I51" s="12"/>
      <c r="J51" s="242"/>
      <c r="K51" s="34">
        <v>5</v>
      </c>
      <c r="L51" s="68">
        <v>17697</v>
      </c>
      <c r="M51" s="48">
        <v>1</v>
      </c>
      <c r="N51" s="48"/>
      <c r="O51" s="68">
        <v>2.1</v>
      </c>
      <c r="P51" s="68">
        <f t="shared" ref="P51:P64" si="21">L51*O51</f>
        <v>37163.700000000004</v>
      </c>
      <c r="Q51" s="49">
        <f>IF(G51&gt;0,25%,0)</f>
        <v>0</v>
      </c>
      <c r="R51" s="50">
        <f>ROUND((P51+T51)*Q51,2)</f>
        <v>0</v>
      </c>
      <c r="S51" s="51">
        <f>IF(H51&gt;0,10%,0)</f>
        <v>0.1</v>
      </c>
      <c r="T51" s="50">
        <f>ROUND(P51*S51*M51,2)</f>
        <v>3716.37</v>
      </c>
      <c r="U51" s="55">
        <v>0.3</v>
      </c>
      <c r="V51" s="53">
        <f t="shared" ref="V51:V56" si="22">L51*U51*M51</f>
        <v>5309.0999999999995</v>
      </c>
      <c r="W51" s="53">
        <f t="shared" ref="W51:W64" si="23">ROUND(P51*M51+R51+T51+V51,2)</f>
        <v>46189.17</v>
      </c>
      <c r="X51" s="222">
        <f t="shared" si="6"/>
        <v>46189.17</v>
      </c>
      <c r="Z51" s="7" t="str">
        <f t="shared" ref="Z51:Z64" si="24">B51</f>
        <v>Мукушева Г. Х.</v>
      </c>
      <c r="AA51" s="8">
        <f t="shared" ref="AA51:AA64" si="25">M51</f>
        <v>1</v>
      </c>
      <c r="AB51" s="8">
        <f t="shared" ref="AB51:AB64" si="26">W51</f>
        <v>46189.17</v>
      </c>
      <c r="AD51" s="7"/>
      <c r="AE51" s="16"/>
      <c r="AF51" s="8"/>
    </row>
    <row r="52" spans="1:34" s="6" customFormat="1" ht="15" x14ac:dyDescent="0.25">
      <c r="A52" s="34">
        <v>39</v>
      </c>
      <c r="B52" s="240" t="s">
        <v>107</v>
      </c>
      <c r="C52" s="67" t="s">
        <v>106</v>
      </c>
      <c r="D52" s="4" t="s">
        <v>35</v>
      </c>
      <c r="E52" s="4" t="s">
        <v>41</v>
      </c>
      <c r="F52" s="241"/>
      <c r="G52" s="241"/>
      <c r="H52" s="4">
        <v>1</v>
      </c>
      <c r="I52" s="12"/>
      <c r="J52" s="242"/>
      <c r="K52" s="34">
        <v>5</v>
      </c>
      <c r="L52" s="68">
        <v>17697</v>
      </c>
      <c r="M52" s="48">
        <v>1</v>
      </c>
      <c r="N52" s="48"/>
      <c r="O52" s="68">
        <v>2.1</v>
      </c>
      <c r="P52" s="68">
        <f t="shared" si="21"/>
        <v>37163.700000000004</v>
      </c>
      <c r="Q52" s="49">
        <f>IF(G52&gt;0,25%,0)</f>
        <v>0</v>
      </c>
      <c r="R52" s="50">
        <f>ROUND((P52+T52)*Q52,2)</f>
        <v>0</v>
      </c>
      <c r="S52" s="51">
        <f t="shared" ref="S52:S64" si="27">IF(H52&gt;0,10%,0)</f>
        <v>0.1</v>
      </c>
      <c r="T52" s="50">
        <f>ROUND(P52*S52*M52,2)</f>
        <v>3716.37</v>
      </c>
      <c r="U52" s="55">
        <v>0.3</v>
      </c>
      <c r="V52" s="53">
        <f t="shared" si="22"/>
        <v>5309.0999999999995</v>
      </c>
      <c r="W52" s="53">
        <f t="shared" si="23"/>
        <v>46189.17</v>
      </c>
      <c r="X52" s="222">
        <f t="shared" si="6"/>
        <v>46189.17</v>
      </c>
      <c r="Z52" s="7" t="str">
        <f>B52</f>
        <v>Токсамбаева К.К.</v>
      </c>
      <c r="AA52" s="8">
        <f t="shared" si="25"/>
        <v>1</v>
      </c>
      <c r="AB52" s="8">
        <f t="shared" si="26"/>
        <v>46189.17</v>
      </c>
      <c r="AD52" s="7"/>
      <c r="AE52" s="16"/>
      <c r="AF52" s="8"/>
    </row>
    <row r="53" spans="1:34" s="6" customFormat="1" ht="15" x14ac:dyDescent="0.25">
      <c r="A53" s="4">
        <v>40</v>
      </c>
      <c r="B53" s="240" t="s">
        <v>108</v>
      </c>
      <c r="C53" s="67" t="s">
        <v>109</v>
      </c>
      <c r="D53" s="4" t="s">
        <v>35</v>
      </c>
      <c r="E53" s="4" t="s">
        <v>41</v>
      </c>
      <c r="F53" s="241"/>
      <c r="G53" s="241"/>
      <c r="H53" s="4">
        <v>1</v>
      </c>
      <c r="I53" s="12"/>
      <c r="J53" s="242"/>
      <c r="K53" s="34">
        <v>2</v>
      </c>
      <c r="L53" s="68">
        <v>17697</v>
      </c>
      <c r="M53" s="48">
        <v>0.5</v>
      </c>
      <c r="N53" s="48"/>
      <c r="O53" s="68">
        <v>1.71</v>
      </c>
      <c r="P53" s="68">
        <f t="shared" si="21"/>
        <v>30261.87</v>
      </c>
      <c r="Q53" s="49">
        <f t="shared" ref="Q53:Q64" si="28">IF(G53&gt;0,25%,0)</f>
        <v>0</v>
      </c>
      <c r="R53" s="50">
        <f t="shared" ref="R53:R64" si="29">ROUND((P53+T53)*Q53,2)</f>
        <v>0</v>
      </c>
      <c r="S53" s="51">
        <f t="shared" si="27"/>
        <v>0.1</v>
      </c>
      <c r="T53" s="50">
        <f t="shared" ref="T53:T64" si="30">ROUND(P53*S53*M53,2)</f>
        <v>1513.09</v>
      </c>
      <c r="U53" s="55"/>
      <c r="V53" s="53"/>
      <c r="W53" s="53">
        <f t="shared" si="23"/>
        <v>16644.03</v>
      </c>
      <c r="X53" s="222">
        <f t="shared" si="6"/>
        <v>33288.06</v>
      </c>
      <c r="Z53" s="7" t="str">
        <f>B53</f>
        <v>Вакансия</v>
      </c>
      <c r="AA53" s="8">
        <f t="shared" si="25"/>
        <v>0.5</v>
      </c>
      <c r="AB53" s="8">
        <f t="shared" si="26"/>
        <v>16644.03</v>
      </c>
      <c r="AD53" s="7"/>
      <c r="AE53" s="16"/>
      <c r="AF53" s="8"/>
    </row>
    <row r="54" spans="1:34" s="6" customFormat="1" ht="15" x14ac:dyDescent="0.25">
      <c r="A54" s="4">
        <v>41</v>
      </c>
      <c r="B54" s="240" t="s">
        <v>110</v>
      </c>
      <c r="C54" s="67" t="s">
        <v>111</v>
      </c>
      <c r="D54" s="4" t="s">
        <v>35</v>
      </c>
      <c r="E54" s="4" t="s">
        <v>41</v>
      </c>
      <c r="F54" s="241"/>
      <c r="G54" s="241"/>
      <c r="H54" s="4">
        <v>1</v>
      </c>
      <c r="I54" s="12"/>
      <c r="J54" s="242"/>
      <c r="K54" s="34">
        <v>3</v>
      </c>
      <c r="L54" s="68">
        <v>17697</v>
      </c>
      <c r="M54" s="48">
        <v>0.5</v>
      </c>
      <c r="N54" s="48"/>
      <c r="O54" s="68">
        <v>1.83</v>
      </c>
      <c r="P54" s="68">
        <f t="shared" si="21"/>
        <v>32385.510000000002</v>
      </c>
      <c r="Q54" s="49">
        <f t="shared" si="28"/>
        <v>0</v>
      </c>
      <c r="R54" s="50">
        <f t="shared" si="29"/>
        <v>0</v>
      </c>
      <c r="S54" s="51">
        <f t="shared" si="27"/>
        <v>0.1</v>
      </c>
      <c r="T54" s="50">
        <f t="shared" si="30"/>
        <v>1619.28</v>
      </c>
      <c r="U54" s="55"/>
      <c r="V54" s="53"/>
      <c r="W54" s="53">
        <f t="shared" si="23"/>
        <v>17812.04</v>
      </c>
      <c r="X54" s="222">
        <f t="shared" si="6"/>
        <v>35624.080000000002</v>
      </c>
      <c r="Z54" s="7" t="str">
        <f t="shared" si="24"/>
        <v>Гребенева О .Я.</v>
      </c>
      <c r="AA54" s="8">
        <f t="shared" si="25"/>
        <v>0.5</v>
      </c>
      <c r="AB54" s="8">
        <f t="shared" si="26"/>
        <v>17812.04</v>
      </c>
      <c r="AC54" s="13"/>
      <c r="AD54" s="7"/>
      <c r="AE54" s="16"/>
      <c r="AF54" s="8"/>
    </row>
    <row r="55" spans="1:34" s="6" customFormat="1" ht="30" x14ac:dyDescent="0.25">
      <c r="A55" s="4">
        <v>42</v>
      </c>
      <c r="B55" s="240" t="str">
        <f>'[1]РАСЧЁТЫ по действующей сист16'!B101</f>
        <v>Бесенбаева Е.К.</v>
      </c>
      <c r="C55" s="56" t="s">
        <v>112</v>
      </c>
      <c r="D55" s="4" t="s">
        <v>35</v>
      </c>
      <c r="E55" s="4" t="s">
        <v>41</v>
      </c>
      <c r="F55" s="4"/>
      <c r="G55" s="4"/>
      <c r="H55" s="4">
        <v>1</v>
      </c>
      <c r="I55" s="12"/>
      <c r="J55" s="12"/>
      <c r="K55" s="4">
        <v>2</v>
      </c>
      <c r="L55" s="68">
        <v>17697</v>
      </c>
      <c r="M55" s="48">
        <v>1</v>
      </c>
      <c r="N55" s="48"/>
      <c r="O55" s="48">
        <v>1.71</v>
      </c>
      <c r="P55" s="68">
        <f t="shared" si="21"/>
        <v>30261.87</v>
      </c>
      <c r="Q55" s="49">
        <f t="shared" si="28"/>
        <v>0</v>
      </c>
      <c r="R55" s="50">
        <f t="shared" si="29"/>
        <v>0</v>
      </c>
      <c r="S55" s="51">
        <f t="shared" si="27"/>
        <v>0.1</v>
      </c>
      <c r="T55" s="50">
        <f t="shared" si="30"/>
        <v>3026.19</v>
      </c>
      <c r="U55" s="55">
        <v>0.3</v>
      </c>
      <c r="V55" s="53">
        <f t="shared" si="22"/>
        <v>5309.0999999999995</v>
      </c>
      <c r="W55" s="53">
        <f t="shared" si="23"/>
        <v>38597.160000000003</v>
      </c>
      <c r="X55" s="222">
        <f t="shared" si="6"/>
        <v>38597.160000000003</v>
      </c>
      <c r="Z55" s="7" t="str">
        <f t="shared" si="24"/>
        <v>Бесенбаева Е.К.</v>
      </c>
      <c r="AA55" s="8">
        <f t="shared" si="25"/>
        <v>1</v>
      </c>
      <c r="AB55" s="8">
        <f t="shared" si="26"/>
        <v>38597.160000000003</v>
      </c>
      <c r="AC55" s="13"/>
      <c r="AD55" s="7"/>
      <c r="AE55" s="16"/>
      <c r="AF55" s="8"/>
    </row>
    <row r="56" spans="1:34" s="6" customFormat="1" ht="30" x14ac:dyDescent="0.25">
      <c r="A56" s="34">
        <v>43</v>
      </c>
      <c r="B56" s="240" t="s">
        <v>216</v>
      </c>
      <c r="C56" s="56" t="s">
        <v>113</v>
      </c>
      <c r="D56" s="4" t="s">
        <v>28</v>
      </c>
      <c r="E56" s="4" t="s">
        <v>41</v>
      </c>
      <c r="F56" s="4"/>
      <c r="G56" s="4"/>
      <c r="H56" s="4">
        <v>1</v>
      </c>
      <c r="I56" s="12"/>
      <c r="J56" s="12"/>
      <c r="K56" s="4">
        <v>2</v>
      </c>
      <c r="L56" s="68">
        <v>17697</v>
      </c>
      <c r="M56" s="48">
        <v>1</v>
      </c>
      <c r="N56" s="48"/>
      <c r="O56" s="4">
        <v>1.71</v>
      </c>
      <c r="P56" s="68">
        <f t="shared" si="21"/>
        <v>30261.87</v>
      </c>
      <c r="Q56" s="49">
        <f t="shared" si="28"/>
        <v>0</v>
      </c>
      <c r="R56" s="50">
        <f t="shared" si="29"/>
        <v>0</v>
      </c>
      <c r="S56" s="51">
        <f t="shared" si="27"/>
        <v>0.1</v>
      </c>
      <c r="T56" s="50">
        <f t="shared" si="30"/>
        <v>3026.19</v>
      </c>
      <c r="U56" s="55">
        <v>0.3</v>
      </c>
      <c r="V56" s="53">
        <f t="shared" si="22"/>
        <v>5309.0999999999995</v>
      </c>
      <c r="W56" s="53">
        <f t="shared" si="23"/>
        <v>38597.160000000003</v>
      </c>
      <c r="X56" s="222">
        <f t="shared" si="6"/>
        <v>38597.160000000003</v>
      </c>
      <c r="Z56" s="7" t="str">
        <f t="shared" si="24"/>
        <v>Байманбетова А.Ш.</v>
      </c>
      <c r="AA56" s="8">
        <f t="shared" si="25"/>
        <v>1</v>
      </c>
      <c r="AB56" s="8">
        <f t="shared" si="26"/>
        <v>38597.160000000003</v>
      </c>
      <c r="AC56" s="13"/>
      <c r="AD56" s="7"/>
      <c r="AE56" s="16"/>
      <c r="AF56" s="8"/>
    </row>
    <row r="57" spans="1:34" s="6" customFormat="1" ht="45.75" customHeight="1" x14ac:dyDescent="0.25">
      <c r="A57" s="4">
        <v>44</v>
      </c>
      <c r="B57" s="240" t="s">
        <v>222</v>
      </c>
      <c r="C57" s="56" t="s">
        <v>114</v>
      </c>
      <c r="D57" s="4" t="s">
        <v>35</v>
      </c>
      <c r="E57" s="4" t="s">
        <v>41</v>
      </c>
      <c r="F57" s="4"/>
      <c r="G57" s="4"/>
      <c r="H57" s="4">
        <v>1</v>
      </c>
      <c r="I57" s="12"/>
      <c r="J57" s="12"/>
      <c r="K57" s="4">
        <v>2</v>
      </c>
      <c r="L57" s="68">
        <v>17697</v>
      </c>
      <c r="M57" s="48">
        <v>1</v>
      </c>
      <c r="N57" s="48"/>
      <c r="O57" s="4">
        <v>1.71</v>
      </c>
      <c r="P57" s="68">
        <f>L57*O57/2</f>
        <v>15130.934999999999</v>
      </c>
      <c r="Q57" s="49">
        <f t="shared" si="28"/>
        <v>0</v>
      </c>
      <c r="R57" s="50">
        <f t="shared" si="29"/>
        <v>0</v>
      </c>
      <c r="S57" s="51">
        <f t="shared" si="27"/>
        <v>0.1</v>
      </c>
      <c r="T57" s="50">
        <f t="shared" si="30"/>
        <v>1513.09</v>
      </c>
      <c r="U57" s="55"/>
      <c r="V57" s="53"/>
      <c r="W57" s="53">
        <f t="shared" si="23"/>
        <v>16644.03</v>
      </c>
      <c r="X57" s="222">
        <f t="shared" si="6"/>
        <v>16644.03</v>
      </c>
      <c r="Z57" s="7" t="str">
        <f t="shared" si="24"/>
        <v>Толеуханов С.А.</v>
      </c>
      <c r="AA57" s="8">
        <f t="shared" si="25"/>
        <v>1</v>
      </c>
      <c r="AB57" s="8">
        <f t="shared" si="26"/>
        <v>16644.03</v>
      </c>
      <c r="AC57" s="13"/>
      <c r="AD57" s="7"/>
      <c r="AE57" s="16"/>
      <c r="AF57" s="8"/>
    </row>
    <row r="58" spans="1:34" s="6" customFormat="1" ht="45.75" customHeight="1" x14ac:dyDescent="0.25">
      <c r="A58" s="34"/>
      <c r="B58" s="51" t="s">
        <v>108</v>
      </c>
      <c r="C58" s="92" t="s">
        <v>114</v>
      </c>
      <c r="D58" s="4" t="s">
        <v>35</v>
      </c>
      <c r="E58" s="4" t="s">
        <v>41</v>
      </c>
      <c r="F58" s="4"/>
      <c r="G58" s="4"/>
      <c r="H58" s="4">
        <v>1</v>
      </c>
      <c r="I58" s="12"/>
      <c r="J58" s="12"/>
      <c r="K58" s="4">
        <v>2</v>
      </c>
      <c r="L58" s="68">
        <v>17697</v>
      </c>
      <c r="M58" s="48">
        <v>1</v>
      </c>
      <c r="N58" s="48"/>
      <c r="O58" s="4">
        <v>1.71</v>
      </c>
      <c r="P58" s="68">
        <f>L58*O58/2</f>
        <v>15130.934999999999</v>
      </c>
      <c r="Q58" s="49">
        <f t="shared" ref="Q58" si="31">IF(G58&gt;0,25%,0)</f>
        <v>0</v>
      </c>
      <c r="R58" s="50">
        <f t="shared" ref="R58" si="32">ROUND((P58+T58)*Q58,2)</f>
        <v>0</v>
      </c>
      <c r="S58" s="51">
        <f t="shared" ref="S58" si="33">IF(H58&gt;0,10%,0)</f>
        <v>0.1</v>
      </c>
      <c r="T58" s="50">
        <f t="shared" ref="T58" si="34">ROUND(P58*S58*M58,2)</f>
        <v>1513.09</v>
      </c>
      <c r="U58" s="55"/>
      <c r="V58" s="53"/>
      <c r="W58" s="53">
        <f t="shared" ref="W58" si="35">ROUND(P58*M58+R58+T58+V58,2)</f>
        <v>16644.03</v>
      </c>
      <c r="X58" s="222"/>
      <c r="Z58" s="7"/>
      <c r="AA58" s="8"/>
      <c r="AB58" s="8"/>
      <c r="AC58" s="13"/>
      <c r="AD58" s="7"/>
      <c r="AE58" s="16"/>
      <c r="AF58" s="8"/>
    </row>
    <row r="59" spans="1:34" s="6" customFormat="1" ht="15" x14ac:dyDescent="0.25">
      <c r="A59" s="34">
        <v>45</v>
      </c>
      <c r="B59" s="240" t="str">
        <f>'[1]РАСЧЁТЫ по действующей сист16'!B114</f>
        <v>Парада В.</v>
      </c>
      <c r="C59" s="56" t="s">
        <v>115</v>
      </c>
      <c r="D59" s="4" t="s">
        <v>35</v>
      </c>
      <c r="E59" s="4" t="s">
        <v>41</v>
      </c>
      <c r="F59" s="4"/>
      <c r="G59" s="4"/>
      <c r="H59" s="4">
        <v>1</v>
      </c>
      <c r="I59" s="12"/>
      <c r="J59" s="12"/>
      <c r="K59" s="4">
        <v>4</v>
      </c>
      <c r="L59" s="68">
        <v>17697</v>
      </c>
      <c r="M59" s="48">
        <v>1</v>
      </c>
      <c r="N59" s="48"/>
      <c r="O59" s="4">
        <v>1.96</v>
      </c>
      <c r="P59" s="68">
        <f t="shared" si="21"/>
        <v>34686.120000000003</v>
      </c>
      <c r="Q59" s="49">
        <f t="shared" si="28"/>
        <v>0</v>
      </c>
      <c r="R59" s="50">
        <f t="shared" si="29"/>
        <v>0</v>
      </c>
      <c r="S59" s="51">
        <f t="shared" si="27"/>
        <v>0.1</v>
      </c>
      <c r="T59" s="50">
        <f t="shared" si="30"/>
        <v>3468.61</v>
      </c>
      <c r="U59" s="55"/>
      <c r="V59" s="53"/>
      <c r="W59" s="53">
        <f t="shared" si="23"/>
        <v>38154.730000000003</v>
      </c>
      <c r="X59" s="222">
        <f t="shared" si="6"/>
        <v>38154.730000000003</v>
      </c>
      <c r="Z59" s="7" t="str">
        <f>B59</f>
        <v>Парада В.</v>
      </c>
      <c r="AA59" s="8">
        <f t="shared" si="25"/>
        <v>1</v>
      </c>
      <c r="AB59" s="8">
        <f t="shared" si="26"/>
        <v>38154.730000000003</v>
      </c>
      <c r="AC59" s="13"/>
      <c r="AD59" s="7"/>
      <c r="AE59" s="16"/>
      <c r="AF59" s="8"/>
    </row>
    <row r="60" spans="1:34" s="6" customFormat="1" ht="15" x14ac:dyDescent="0.25">
      <c r="A60" s="34">
        <v>46</v>
      </c>
      <c r="B60" s="240" t="s">
        <v>116</v>
      </c>
      <c r="C60" s="56" t="s">
        <v>117</v>
      </c>
      <c r="D60" s="4" t="s">
        <v>28</v>
      </c>
      <c r="E60" s="4" t="s">
        <v>41</v>
      </c>
      <c r="F60" s="4"/>
      <c r="G60" s="4"/>
      <c r="H60" s="4">
        <v>1</v>
      </c>
      <c r="I60" s="12"/>
      <c r="J60" s="12"/>
      <c r="K60" s="4">
        <v>4</v>
      </c>
      <c r="L60" s="68">
        <v>17697</v>
      </c>
      <c r="M60" s="48">
        <v>0.5</v>
      </c>
      <c r="N60" s="48"/>
      <c r="O60" s="4">
        <v>1.96</v>
      </c>
      <c r="P60" s="68">
        <f t="shared" si="21"/>
        <v>34686.120000000003</v>
      </c>
      <c r="Q60" s="49">
        <f t="shared" si="28"/>
        <v>0</v>
      </c>
      <c r="R60" s="50">
        <f t="shared" si="29"/>
        <v>0</v>
      </c>
      <c r="S60" s="51">
        <f t="shared" si="27"/>
        <v>0.1</v>
      </c>
      <c r="T60" s="50">
        <f t="shared" si="30"/>
        <v>1734.31</v>
      </c>
      <c r="U60" s="55"/>
      <c r="V60" s="53"/>
      <c r="W60" s="53">
        <f t="shared" si="23"/>
        <v>19077.37</v>
      </c>
      <c r="X60" s="222">
        <f>P60/2</f>
        <v>17343.060000000001</v>
      </c>
      <c r="Z60" s="7" t="str">
        <f>B60</f>
        <v>Жайлауов А. М.</v>
      </c>
      <c r="AA60" s="8">
        <f t="shared" si="25"/>
        <v>0.5</v>
      </c>
      <c r="AB60" s="8">
        <f t="shared" si="26"/>
        <v>19077.37</v>
      </c>
      <c r="AC60" s="13"/>
      <c r="AD60" s="7"/>
      <c r="AE60" s="16"/>
      <c r="AF60" s="8"/>
    </row>
    <row r="61" spans="1:34" s="6" customFormat="1" ht="15" x14ac:dyDescent="0.25">
      <c r="A61" s="4">
        <v>47</v>
      </c>
      <c r="B61" s="240" t="str">
        <f>'[1]РАСЧЁТЫ по действующей сист16'!B117</f>
        <v>Абуталипов Н.</v>
      </c>
      <c r="C61" s="243" t="s">
        <v>119</v>
      </c>
      <c r="D61" s="4" t="s">
        <v>118</v>
      </c>
      <c r="E61" s="4" t="s">
        <v>41</v>
      </c>
      <c r="F61" s="4"/>
      <c r="G61" s="4"/>
      <c r="H61" s="4">
        <v>1</v>
      </c>
      <c r="I61" s="12"/>
      <c r="J61" s="12"/>
      <c r="K61" s="4">
        <v>1</v>
      </c>
      <c r="L61" s="68">
        <v>17697</v>
      </c>
      <c r="M61" s="48">
        <v>1</v>
      </c>
      <c r="N61" s="48"/>
      <c r="O61" s="4">
        <v>1.6</v>
      </c>
      <c r="P61" s="68">
        <f t="shared" si="21"/>
        <v>28315.200000000001</v>
      </c>
      <c r="Q61" s="49">
        <f t="shared" si="28"/>
        <v>0</v>
      </c>
      <c r="R61" s="50">
        <f t="shared" si="29"/>
        <v>0</v>
      </c>
      <c r="S61" s="51">
        <f t="shared" si="27"/>
        <v>0.1</v>
      </c>
      <c r="T61" s="50">
        <f t="shared" si="30"/>
        <v>2831.52</v>
      </c>
      <c r="U61" s="55"/>
      <c r="V61" s="53">
        <v>8632.68</v>
      </c>
      <c r="W61" s="53">
        <f t="shared" si="23"/>
        <v>39779.4</v>
      </c>
      <c r="X61" s="222">
        <f t="shared" si="6"/>
        <v>39779.4</v>
      </c>
      <c r="Z61" s="7" t="str">
        <f t="shared" si="24"/>
        <v>Абуталипов Н.</v>
      </c>
      <c r="AA61" s="8">
        <f t="shared" si="25"/>
        <v>1</v>
      </c>
      <c r="AB61" s="8">
        <f t="shared" si="26"/>
        <v>39779.4</v>
      </c>
      <c r="AC61" s="262"/>
      <c r="AD61" s="7"/>
      <c r="AE61" s="16"/>
      <c r="AF61" s="8"/>
    </row>
    <row r="62" spans="1:34" s="6" customFormat="1" ht="15" x14ac:dyDescent="0.25">
      <c r="A62" s="34">
        <v>48</v>
      </c>
      <c r="B62" s="240" t="str">
        <f>'[1]РАСЧЁТЫ по действующей сист16'!B118</f>
        <v>Медиев М.</v>
      </c>
      <c r="C62" s="243" t="s">
        <v>119</v>
      </c>
      <c r="D62" s="4" t="s">
        <v>118</v>
      </c>
      <c r="E62" s="4" t="s">
        <v>41</v>
      </c>
      <c r="F62" s="4"/>
      <c r="G62" s="4"/>
      <c r="H62" s="4">
        <v>1</v>
      </c>
      <c r="I62" s="12"/>
      <c r="J62" s="12"/>
      <c r="K62" s="4">
        <v>1</v>
      </c>
      <c r="L62" s="68">
        <v>17697</v>
      </c>
      <c r="M62" s="48">
        <v>1</v>
      </c>
      <c r="N62" s="48"/>
      <c r="O62" s="4">
        <v>1.6</v>
      </c>
      <c r="P62" s="68">
        <f t="shared" si="21"/>
        <v>28315.200000000001</v>
      </c>
      <c r="Q62" s="49">
        <f t="shared" si="28"/>
        <v>0</v>
      </c>
      <c r="R62" s="50">
        <f t="shared" si="29"/>
        <v>0</v>
      </c>
      <c r="S62" s="51">
        <f t="shared" si="27"/>
        <v>0.1</v>
      </c>
      <c r="T62" s="50">
        <f t="shared" si="30"/>
        <v>2831.52</v>
      </c>
      <c r="U62" s="55"/>
      <c r="V62" s="53">
        <v>8632.68</v>
      </c>
      <c r="W62" s="53">
        <f t="shared" si="23"/>
        <v>39779.4</v>
      </c>
      <c r="X62" s="222">
        <f t="shared" si="6"/>
        <v>39779.4</v>
      </c>
      <c r="Z62" s="7" t="str">
        <f t="shared" si="24"/>
        <v>Медиев М.</v>
      </c>
      <c r="AA62" s="8">
        <f t="shared" si="25"/>
        <v>1</v>
      </c>
      <c r="AB62" s="8">
        <f t="shared" si="26"/>
        <v>39779.4</v>
      </c>
      <c r="AD62" s="7"/>
      <c r="AE62" s="16"/>
      <c r="AF62" s="8"/>
    </row>
    <row r="63" spans="1:34" s="6" customFormat="1" ht="15" x14ac:dyDescent="0.25">
      <c r="A63" s="4">
        <v>49</v>
      </c>
      <c r="B63" s="240" t="str">
        <f>'[1]РАСЧЁТЫ по действующей сист16'!B119</f>
        <v>Уралтаев С.</v>
      </c>
      <c r="C63" s="243" t="s">
        <v>119</v>
      </c>
      <c r="D63" s="4" t="s">
        <v>118</v>
      </c>
      <c r="E63" s="4" t="s">
        <v>41</v>
      </c>
      <c r="F63" s="4"/>
      <c r="G63" s="4"/>
      <c r="H63" s="4">
        <v>1</v>
      </c>
      <c r="I63" s="12"/>
      <c r="J63" s="12"/>
      <c r="K63" s="4">
        <v>1</v>
      </c>
      <c r="L63" s="68">
        <v>17697</v>
      </c>
      <c r="M63" s="48">
        <v>1</v>
      </c>
      <c r="N63" s="48"/>
      <c r="O63" s="4">
        <v>1.6</v>
      </c>
      <c r="P63" s="68">
        <f t="shared" si="21"/>
        <v>28315.200000000001</v>
      </c>
      <c r="Q63" s="49">
        <f t="shared" si="28"/>
        <v>0</v>
      </c>
      <c r="R63" s="50">
        <f t="shared" si="29"/>
        <v>0</v>
      </c>
      <c r="S63" s="51">
        <f t="shared" si="27"/>
        <v>0.1</v>
      </c>
      <c r="T63" s="50">
        <f t="shared" si="30"/>
        <v>2831.52</v>
      </c>
      <c r="U63" s="55"/>
      <c r="V63" s="53">
        <v>8632.68</v>
      </c>
      <c r="W63" s="53">
        <f t="shared" si="23"/>
        <v>39779.4</v>
      </c>
      <c r="X63" s="222">
        <f t="shared" si="6"/>
        <v>39779.4</v>
      </c>
      <c r="Z63" s="7" t="str">
        <f t="shared" si="24"/>
        <v>Уралтаев С.</v>
      </c>
      <c r="AA63" s="8">
        <f t="shared" si="25"/>
        <v>1</v>
      </c>
      <c r="AB63" s="8">
        <f t="shared" si="26"/>
        <v>39779.4</v>
      </c>
      <c r="AD63" s="7"/>
      <c r="AE63" s="16"/>
      <c r="AF63" s="8"/>
    </row>
    <row r="64" spans="1:34" s="6" customFormat="1" ht="15.75" thickBot="1" x14ac:dyDescent="0.3">
      <c r="A64" s="34">
        <v>50</v>
      </c>
      <c r="B64" s="240" t="str">
        <f>'[1]РАСЧЁТЫ по действующей сист16'!B120</f>
        <v>Сипатов А.М.</v>
      </c>
      <c r="C64" s="58" t="s">
        <v>120</v>
      </c>
      <c r="D64" s="4" t="s">
        <v>118</v>
      </c>
      <c r="E64" s="4" t="s">
        <v>41</v>
      </c>
      <c r="F64" s="59"/>
      <c r="G64" s="59"/>
      <c r="H64" s="59">
        <v>1</v>
      </c>
      <c r="I64" s="32"/>
      <c r="J64" s="32"/>
      <c r="K64" s="59">
        <v>2</v>
      </c>
      <c r="L64" s="68">
        <v>17697</v>
      </c>
      <c r="M64" s="60">
        <v>1</v>
      </c>
      <c r="N64" s="60"/>
      <c r="O64" s="4">
        <v>1.71</v>
      </c>
      <c r="P64" s="68">
        <f t="shared" si="21"/>
        <v>30261.87</v>
      </c>
      <c r="Q64" s="49">
        <f t="shared" si="28"/>
        <v>0</v>
      </c>
      <c r="R64" s="50">
        <f t="shared" si="29"/>
        <v>0</v>
      </c>
      <c r="S64" s="51">
        <f t="shared" si="27"/>
        <v>0.1</v>
      </c>
      <c r="T64" s="50">
        <f t="shared" si="30"/>
        <v>3026.19</v>
      </c>
      <c r="U64" s="61"/>
      <c r="V64" s="62"/>
      <c r="W64" s="53">
        <f t="shared" si="23"/>
        <v>33288.06</v>
      </c>
      <c r="X64" s="222">
        <f t="shared" si="6"/>
        <v>33288.06</v>
      </c>
      <c r="Z64" s="7" t="str">
        <f t="shared" si="24"/>
        <v>Сипатов А.М.</v>
      </c>
      <c r="AA64" s="8">
        <f t="shared" si="25"/>
        <v>1</v>
      </c>
      <c r="AB64" s="8">
        <f t="shared" si="26"/>
        <v>33288.06</v>
      </c>
      <c r="AC64" s="9"/>
      <c r="AD64" s="7"/>
      <c r="AE64" s="16"/>
      <c r="AF64" s="8"/>
    </row>
    <row r="65" spans="1:32" s="6" customFormat="1" ht="13.5" thickBot="1" x14ac:dyDescent="0.3">
      <c r="A65" s="530" t="s">
        <v>121</v>
      </c>
      <c r="B65" s="531"/>
      <c r="C65" s="531"/>
      <c r="D65" s="531"/>
      <c r="E65" s="263"/>
      <c r="F65" s="263"/>
      <c r="G65" s="263"/>
      <c r="H65" s="263"/>
      <c r="I65" s="263"/>
      <c r="J65" s="263"/>
      <c r="K65" s="263"/>
      <c r="L65" s="263"/>
      <c r="M65" s="264">
        <f>SUM(M51:M64)</f>
        <v>12.5</v>
      </c>
      <c r="N65" s="264"/>
      <c r="O65" s="264"/>
      <c r="P65" s="264">
        <f>SUM(P51:P64)</f>
        <v>412340.10000000003</v>
      </c>
      <c r="Q65" s="264">
        <f>SUM(Q51:Q64)</f>
        <v>0</v>
      </c>
      <c r="R65" s="264">
        <f>SUM(R51:R64)</f>
        <v>0</v>
      </c>
      <c r="S65" s="264"/>
      <c r="T65" s="264">
        <f>SUM(T51:T64)</f>
        <v>36367.340000000004</v>
      </c>
      <c r="U65" s="264">
        <f>SUM(U51:U64)</f>
        <v>1.2</v>
      </c>
      <c r="V65" s="264">
        <f>SUM(V51:V64)</f>
        <v>47134.439999999995</v>
      </c>
      <c r="W65" s="265">
        <f>ROUND(SUM(W51:W64),2)</f>
        <v>447175.15</v>
      </c>
      <c r="Z65" s="7" t="s">
        <v>122</v>
      </c>
      <c r="AA65" s="8">
        <f>SUM(AA51:AA64)</f>
        <v>11.5</v>
      </c>
      <c r="AB65" s="8">
        <f>SUM(AB51:AB64)</f>
        <v>430531.12000000011</v>
      </c>
      <c r="AC65" s="13"/>
      <c r="AD65" s="7" t="s">
        <v>123</v>
      </c>
      <c r="AE65" s="8">
        <f>SUM(AE51:AE64)</f>
        <v>0</v>
      </c>
      <c r="AF65" s="8">
        <f>SUM(AF51:AF64)</f>
        <v>0</v>
      </c>
    </row>
    <row r="66" spans="1:32" s="6" customFormat="1" ht="13.5" thickBot="1" x14ac:dyDescent="0.3">
      <c r="A66" s="532" t="s">
        <v>124</v>
      </c>
      <c r="B66" s="533"/>
      <c r="C66" s="533"/>
      <c r="D66" s="533"/>
      <c r="E66" s="266"/>
      <c r="F66" s="266"/>
      <c r="G66" s="266"/>
      <c r="H66" s="266"/>
      <c r="I66" s="266"/>
      <c r="J66" s="266"/>
      <c r="K66" s="266"/>
      <c r="L66" s="266"/>
      <c r="M66" s="267">
        <f>M15+M50+M65</f>
        <v>49.25</v>
      </c>
      <c r="N66" s="267"/>
      <c r="O66" s="267"/>
      <c r="P66" s="267">
        <f>P15+P50+P65</f>
        <v>2399713.2000000002</v>
      </c>
      <c r="Q66" s="267">
        <f>Q15+Q50+Q65</f>
        <v>0</v>
      </c>
      <c r="R66" s="267">
        <f>R15+R50+R65</f>
        <v>0</v>
      </c>
      <c r="S66" s="267"/>
      <c r="T66" s="267">
        <f>T15+T50+T65</f>
        <v>232826.21</v>
      </c>
      <c r="U66" s="267">
        <f>U15+U50+U65</f>
        <v>13.399999999999999</v>
      </c>
      <c r="V66" s="267">
        <f>V15+V50+V65</f>
        <v>315686.41499999998</v>
      </c>
      <c r="W66" s="268">
        <f>ROUND(W15+W50+W65,2)-0.8</f>
        <v>2876773.45</v>
      </c>
      <c r="Z66" s="269" t="s">
        <v>125</v>
      </c>
      <c r="AA66" s="53">
        <f>AA15+AA50+AA65</f>
        <v>24.75</v>
      </c>
      <c r="AB66" s="53">
        <f>AB15+AB50+AB65</f>
        <v>997392.62000000011</v>
      </c>
      <c r="AC66" s="262"/>
      <c r="AD66" s="269" t="s">
        <v>126</v>
      </c>
      <c r="AE66" s="53">
        <f>AE15+AE50+AE65</f>
        <v>25</v>
      </c>
      <c r="AF66" s="53">
        <f>AF15+AF50+AF65</f>
        <v>1795701.3599999999</v>
      </c>
    </row>
    <row r="67" spans="1:32" s="6" customFormat="1" x14ac:dyDescent="0.25">
      <c r="A67" s="270"/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</row>
    <row r="68" spans="1:32" s="6" customFormat="1" ht="15" x14ac:dyDescent="0.25">
      <c r="B68" s="6" t="s">
        <v>27</v>
      </c>
      <c r="C68" s="534"/>
      <c r="D68" s="534"/>
      <c r="E68" s="271"/>
      <c r="F68" s="270"/>
      <c r="G68" s="270"/>
      <c r="H68" s="270"/>
      <c r="K68" s="534" t="s">
        <v>127</v>
      </c>
      <c r="L68" s="534"/>
      <c r="M68" s="535"/>
      <c r="N68" s="272"/>
      <c r="O68" s="273"/>
      <c r="P68" s="9"/>
      <c r="Q68" s="9"/>
      <c r="R68" s="9"/>
      <c r="S68" s="9"/>
      <c r="T68" s="13"/>
      <c r="V68" s="11"/>
      <c r="W68" s="13"/>
    </row>
    <row r="69" spans="1:32" ht="15" x14ac:dyDescent="0.25">
      <c r="C69" s="478" t="s">
        <v>128</v>
      </c>
      <c r="D69" s="478"/>
      <c r="E69" s="478"/>
      <c r="F69" s="252"/>
      <c r="G69" s="252"/>
      <c r="H69" s="252"/>
      <c r="I69" s="254"/>
      <c r="J69" s="254"/>
      <c r="K69" s="479" t="s">
        <v>129</v>
      </c>
      <c r="L69" s="479"/>
      <c r="M69" s="480"/>
      <c r="O69" s="2"/>
      <c r="P69" s="2"/>
      <c r="Q69" s="2"/>
      <c r="R69" s="2"/>
      <c r="S69" s="2"/>
      <c r="T69" s="2"/>
      <c r="U69" s="2"/>
      <c r="V69" s="26"/>
      <c r="W69" s="3"/>
      <c r="Z69" s="22"/>
      <c r="AA69" s="22"/>
      <c r="AB69" s="22"/>
      <c r="AC69" s="22"/>
      <c r="AD69" s="489" t="s">
        <v>130</v>
      </c>
      <c r="AE69" s="18" t="s">
        <v>131</v>
      </c>
      <c r="AF69" s="18" t="s">
        <v>4</v>
      </c>
    </row>
    <row r="70" spans="1:32" x14ac:dyDescent="0.25">
      <c r="E70" s="254"/>
      <c r="F70" s="254"/>
      <c r="G70" s="254"/>
      <c r="H70" s="254"/>
      <c r="I70" s="254"/>
      <c r="J70" s="254"/>
      <c r="K70" s="252"/>
      <c r="L70" s="252"/>
      <c r="O70" s="2"/>
      <c r="P70" s="2"/>
      <c r="Q70" s="2"/>
      <c r="R70" s="2"/>
      <c r="S70" s="2"/>
      <c r="T70" s="3"/>
      <c r="U70" s="3"/>
      <c r="W70" s="3">
        <f>W16+W17+W18+W19+W20+W21+W22+W23+W24+W26+W25+W27+W28+W32+W33+W36+W37+W38+W39+W40+W41+W42+W43+W49+W60</f>
        <v>1658385.91</v>
      </c>
      <c r="X70" s="1">
        <f>W12+W29+W30+W34+W35+W44+W45+W46+W47+W48+W51+W52+W53+W54+W55+W57+W59</f>
        <v>815703.45000000019</v>
      </c>
      <c r="Z70" s="255"/>
      <c r="AB70" s="3"/>
      <c r="AD70" s="489"/>
      <c r="AE70" s="21">
        <f>AA66+AE66</f>
        <v>49.75</v>
      </c>
      <c r="AF70" s="21">
        <f>AB66+AF66</f>
        <v>2793093.98</v>
      </c>
    </row>
    <row r="71" spans="1:32" ht="15" x14ac:dyDescent="0.25">
      <c r="B71" s="255" t="s">
        <v>40</v>
      </c>
      <c r="C71" s="487"/>
      <c r="D71" s="487"/>
      <c r="E71" s="253"/>
      <c r="F71" s="252"/>
      <c r="G71" s="252"/>
      <c r="H71" s="252"/>
      <c r="K71" s="487" t="s">
        <v>169</v>
      </c>
      <c r="L71" s="487"/>
      <c r="M71" s="488"/>
      <c r="W71" s="1">
        <f>W60+W43+W32</f>
        <v>119370.69</v>
      </c>
      <c r="X71" s="1">
        <f>W59+W57</f>
        <v>54798.76</v>
      </c>
      <c r="Z71" s="1"/>
      <c r="AA71" s="255"/>
      <c r="AB71" s="1"/>
      <c r="AC71" s="1"/>
      <c r="AD71" s="1"/>
      <c r="AE71" s="26"/>
      <c r="AF71" s="26"/>
    </row>
    <row r="72" spans="1:32" ht="15" x14ac:dyDescent="0.25">
      <c r="C72" s="478" t="s">
        <v>128</v>
      </c>
      <c r="D72" s="478"/>
      <c r="E72" s="478"/>
      <c r="F72" s="252"/>
      <c r="G72" s="252"/>
      <c r="H72" s="252"/>
      <c r="K72" s="479" t="s">
        <v>129</v>
      </c>
      <c r="L72" s="479"/>
      <c r="M72" s="480"/>
      <c r="T72" s="26"/>
      <c r="Z72" s="1"/>
      <c r="AA72" s="1"/>
      <c r="AB72" s="1"/>
      <c r="AC72" s="1"/>
      <c r="AD72" s="20" t="s">
        <v>132</v>
      </c>
      <c r="AE72" s="21">
        <f>M66</f>
        <v>49.25</v>
      </c>
      <c r="AF72" s="21">
        <f>W66</f>
        <v>2876773.45</v>
      </c>
    </row>
    <row r="73" spans="1:32" x14ac:dyDescent="0.25">
      <c r="B73" s="27"/>
      <c r="Z73" s="3"/>
      <c r="AA73" s="3"/>
      <c r="AB73" s="3"/>
      <c r="AC73" s="3"/>
      <c r="AD73" s="3"/>
      <c r="AE73" s="25"/>
      <c r="AF73" s="25"/>
    </row>
    <row r="74" spans="1:32" x14ac:dyDescent="0.25">
      <c r="B74" s="28" t="s">
        <v>133</v>
      </c>
      <c r="W74" s="1"/>
      <c r="Z74" s="25"/>
      <c r="AE74" s="3"/>
    </row>
    <row r="75" spans="1:32" x14ac:dyDescent="0.25">
      <c r="M75" s="1"/>
      <c r="P75" s="1"/>
      <c r="Q75" s="1"/>
      <c r="R75" s="1"/>
      <c r="S75" s="1"/>
      <c r="T75" s="1"/>
      <c r="AB75" s="3"/>
      <c r="AD75" s="20" t="s">
        <v>134</v>
      </c>
      <c r="AE75" s="21">
        <f>AE70-AE72</f>
        <v>0.5</v>
      </c>
      <c r="AF75" s="21">
        <f>AF70-AF72</f>
        <v>-83679.470000000205</v>
      </c>
    </row>
    <row r="76" spans="1:32" ht="18.75" x14ac:dyDescent="0.25">
      <c r="D76" s="1"/>
      <c r="E76" s="526" t="s">
        <v>211</v>
      </c>
      <c r="F76" s="527"/>
      <c r="G76" s="527"/>
      <c r="H76" s="527"/>
      <c r="I76" s="527"/>
      <c r="J76" s="527"/>
      <c r="K76" s="527"/>
      <c r="L76" s="527"/>
      <c r="M76" s="527"/>
      <c r="N76" s="527"/>
      <c r="O76" s="527"/>
    </row>
    <row r="77" spans="1:32" x14ac:dyDescent="0.25">
      <c r="I77" s="29"/>
      <c r="J77" s="29"/>
      <c r="M77" s="1"/>
    </row>
    <row r="78" spans="1:32" ht="15" x14ac:dyDescent="0.25">
      <c r="A78" s="34"/>
      <c r="B78" s="42" t="s">
        <v>171</v>
      </c>
      <c r="C78" s="56" t="s">
        <v>63</v>
      </c>
      <c r="D78" s="4" t="s">
        <v>28</v>
      </c>
      <c r="E78" s="4" t="s">
        <v>41</v>
      </c>
      <c r="F78" s="71"/>
      <c r="G78" s="71"/>
      <c r="H78" s="71" t="s">
        <v>65</v>
      </c>
      <c r="I78" s="12"/>
      <c r="J78" s="12" t="s">
        <v>37</v>
      </c>
      <c r="K78" s="5">
        <v>2</v>
      </c>
      <c r="L78" s="48">
        <v>17697</v>
      </c>
      <c r="M78" s="70">
        <v>0.5</v>
      </c>
      <c r="N78" s="48"/>
      <c r="O78" s="48">
        <v>3.08</v>
      </c>
      <c r="P78" s="48">
        <f t="shared" ref="P78:P85" si="36">L78*O78</f>
        <v>54506.76</v>
      </c>
      <c r="Q78" s="209">
        <f t="shared" ref="Q78:Q85" si="37">IF(G78&gt;0,25%,0)</f>
        <v>0</v>
      </c>
      <c r="R78" s="53">
        <f t="shared" ref="R78:R85" si="38">ROUND((P78+T78)*Q78,2)</f>
        <v>0</v>
      </c>
      <c r="S78" s="210">
        <f t="shared" ref="S78:S85" si="39">IF(H78&gt;0,10%,0)</f>
        <v>0.1</v>
      </c>
      <c r="T78" s="53">
        <f t="shared" ref="T78:T85" si="40">ROUND(P78*S78*M78,2)</f>
        <v>2725.34</v>
      </c>
      <c r="U78" s="55"/>
      <c r="V78" s="53">
        <f t="shared" ref="V78:V82" si="41">L78*U78*M78</f>
        <v>0</v>
      </c>
      <c r="W78" s="53">
        <f t="shared" ref="W78:W82" si="42">ROUND(P78*M78+T78+R78+V78,2)</f>
        <v>29978.720000000001</v>
      </c>
      <c r="X78" s="222"/>
    </row>
    <row r="79" spans="1:32" ht="15" x14ac:dyDescent="0.25">
      <c r="B79" s="42" t="s">
        <v>171</v>
      </c>
      <c r="C79" s="56" t="s">
        <v>78</v>
      </c>
      <c r="D79" s="4" t="s">
        <v>28</v>
      </c>
      <c r="E79" s="4" t="s">
        <v>41</v>
      </c>
      <c r="F79" s="71"/>
      <c r="G79" s="71"/>
      <c r="H79" s="71" t="s">
        <v>65</v>
      </c>
      <c r="I79" s="12" t="s">
        <v>48</v>
      </c>
      <c r="J79" s="12" t="s">
        <v>49</v>
      </c>
      <c r="K79" s="5">
        <v>4</v>
      </c>
      <c r="L79" s="48">
        <v>17697</v>
      </c>
      <c r="M79" s="70">
        <v>1</v>
      </c>
      <c r="N79" s="5"/>
      <c r="O79" s="48">
        <v>2.34</v>
      </c>
      <c r="P79" s="48">
        <f t="shared" si="36"/>
        <v>41410.979999999996</v>
      </c>
      <c r="Q79" s="49">
        <f t="shared" si="37"/>
        <v>0</v>
      </c>
      <c r="R79" s="50">
        <f t="shared" si="38"/>
        <v>0</v>
      </c>
      <c r="S79" s="51">
        <f t="shared" si="39"/>
        <v>0.1</v>
      </c>
      <c r="T79" s="50">
        <f t="shared" si="40"/>
        <v>4141.1000000000004</v>
      </c>
      <c r="U79" s="52">
        <v>0.4</v>
      </c>
      <c r="V79" s="53">
        <f t="shared" si="41"/>
        <v>7078.8</v>
      </c>
      <c r="W79" s="53">
        <f t="shared" si="42"/>
        <v>52630.879999999997</v>
      </c>
      <c r="X79" s="222"/>
    </row>
    <row r="80" spans="1:32" ht="15" x14ac:dyDescent="0.25">
      <c r="B80" s="46" t="s">
        <v>173</v>
      </c>
      <c r="C80" s="56" t="s">
        <v>54</v>
      </c>
      <c r="D80" s="34" t="s">
        <v>28</v>
      </c>
      <c r="E80" s="34" t="s">
        <v>41</v>
      </c>
      <c r="F80" s="34"/>
      <c r="G80" s="34"/>
      <c r="H80" s="34">
        <v>1</v>
      </c>
      <c r="I80" s="34" t="s">
        <v>48</v>
      </c>
      <c r="J80" s="34" t="s">
        <v>53</v>
      </c>
      <c r="K80" s="35">
        <v>4</v>
      </c>
      <c r="L80" s="68">
        <v>17697</v>
      </c>
      <c r="M80" s="69">
        <v>1</v>
      </c>
      <c r="N80" s="68"/>
      <c r="O80" s="68">
        <v>3.08</v>
      </c>
      <c r="P80" s="68">
        <f t="shared" si="36"/>
        <v>54506.76</v>
      </c>
      <c r="Q80" s="49">
        <f t="shared" si="37"/>
        <v>0</v>
      </c>
      <c r="R80" s="50">
        <f t="shared" si="38"/>
        <v>0</v>
      </c>
      <c r="S80" s="51">
        <f t="shared" si="39"/>
        <v>0.1</v>
      </c>
      <c r="T80" s="50">
        <f t="shared" si="40"/>
        <v>5450.68</v>
      </c>
      <c r="U80" s="52">
        <v>0.4</v>
      </c>
      <c r="V80" s="53">
        <f t="shared" si="41"/>
        <v>7078.8</v>
      </c>
      <c r="W80" s="50">
        <f t="shared" si="42"/>
        <v>67036.240000000005</v>
      </c>
      <c r="X80" s="222"/>
    </row>
    <row r="81" spans="2:24" ht="15" x14ac:dyDescent="0.25">
      <c r="B81" s="46" t="s">
        <v>175</v>
      </c>
      <c r="C81" s="56" t="s">
        <v>60</v>
      </c>
      <c r="D81" s="4" t="s">
        <v>28</v>
      </c>
      <c r="E81" s="4" t="s">
        <v>205</v>
      </c>
      <c r="F81" s="4"/>
      <c r="G81" s="4"/>
      <c r="H81" s="4">
        <v>1</v>
      </c>
      <c r="I81" s="34" t="s">
        <v>48</v>
      </c>
      <c r="J81" s="4" t="s">
        <v>53</v>
      </c>
      <c r="K81" s="5">
        <v>3</v>
      </c>
      <c r="L81" s="48">
        <v>17697</v>
      </c>
      <c r="M81" s="70">
        <v>1</v>
      </c>
      <c r="N81" s="48">
        <v>2</v>
      </c>
      <c r="O81" s="4">
        <v>3.79</v>
      </c>
      <c r="P81" s="68">
        <f t="shared" si="36"/>
        <v>67071.63</v>
      </c>
      <c r="Q81" s="49">
        <f t="shared" si="37"/>
        <v>0</v>
      </c>
      <c r="R81" s="50">
        <f t="shared" si="38"/>
        <v>0</v>
      </c>
      <c r="S81" s="51">
        <f t="shared" si="39"/>
        <v>0.1</v>
      </c>
      <c r="T81" s="50">
        <f t="shared" si="40"/>
        <v>6707.16</v>
      </c>
      <c r="U81" s="52">
        <v>0.4</v>
      </c>
      <c r="V81" s="53">
        <f t="shared" si="41"/>
        <v>7078.8</v>
      </c>
      <c r="W81" s="53">
        <f t="shared" si="42"/>
        <v>80857.59</v>
      </c>
      <c r="X81" s="222"/>
    </row>
    <row r="82" spans="2:24" ht="15" x14ac:dyDescent="0.25">
      <c r="B82" s="46" t="s">
        <v>177</v>
      </c>
      <c r="C82" s="56" t="s">
        <v>95</v>
      </c>
      <c r="D82" s="4" t="s">
        <v>35</v>
      </c>
      <c r="E82" s="71" t="s">
        <v>204</v>
      </c>
      <c r="F82" s="71"/>
      <c r="G82" s="71"/>
      <c r="H82" s="71" t="s">
        <v>65</v>
      </c>
      <c r="I82" s="12"/>
      <c r="J82" s="12"/>
      <c r="K82" s="5" t="s">
        <v>94</v>
      </c>
      <c r="L82" s="48">
        <v>17697</v>
      </c>
      <c r="M82" s="70">
        <v>1.25</v>
      </c>
      <c r="N82" s="71"/>
      <c r="O82" s="48">
        <v>1.8</v>
      </c>
      <c r="P82" s="48">
        <f t="shared" si="36"/>
        <v>31854.600000000002</v>
      </c>
      <c r="Q82" s="49">
        <f t="shared" si="37"/>
        <v>0</v>
      </c>
      <c r="R82" s="50">
        <f t="shared" si="38"/>
        <v>0</v>
      </c>
      <c r="S82" s="51">
        <f t="shared" si="39"/>
        <v>0.1</v>
      </c>
      <c r="T82" s="50">
        <f t="shared" si="40"/>
        <v>3981.83</v>
      </c>
      <c r="U82" s="52">
        <v>0.7</v>
      </c>
      <c r="V82" s="53">
        <f t="shared" si="41"/>
        <v>15484.875</v>
      </c>
      <c r="W82" s="53">
        <f t="shared" si="42"/>
        <v>59284.959999999999</v>
      </c>
      <c r="X82" s="222"/>
    </row>
    <row r="83" spans="2:24" ht="45" x14ac:dyDescent="0.25">
      <c r="B83" s="75" t="s">
        <v>179</v>
      </c>
      <c r="C83" s="87" t="s">
        <v>114</v>
      </c>
      <c r="D83" s="77" t="s">
        <v>35</v>
      </c>
      <c r="E83" s="77" t="s">
        <v>41</v>
      </c>
      <c r="F83" s="77"/>
      <c r="G83" s="77"/>
      <c r="H83" s="77">
        <v>1</v>
      </c>
      <c r="I83" s="84"/>
      <c r="J83" s="84"/>
      <c r="K83" s="77">
        <v>2</v>
      </c>
      <c r="L83" s="79">
        <v>17697</v>
      </c>
      <c r="M83" s="85">
        <v>1</v>
      </c>
      <c r="N83" s="85"/>
      <c r="O83" s="77">
        <v>1.71</v>
      </c>
      <c r="P83" s="79">
        <f t="shared" si="36"/>
        <v>30261.87</v>
      </c>
      <c r="Q83" s="80">
        <f t="shared" si="37"/>
        <v>0</v>
      </c>
      <c r="R83" s="81">
        <f t="shared" si="38"/>
        <v>0</v>
      </c>
      <c r="S83" s="82">
        <f t="shared" si="39"/>
        <v>0.1</v>
      </c>
      <c r="T83" s="81">
        <f t="shared" si="40"/>
        <v>3026.19</v>
      </c>
      <c r="U83" s="86"/>
      <c r="V83" s="18"/>
      <c r="W83" s="18">
        <f t="shared" ref="W83:W84" si="43">ROUND(P83*M83+R83+T83+V83,2)</f>
        <v>33288.06</v>
      </c>
      <c r="X83" s="222"/>
    </row>
    <row r="84" spans="2:24" ht="30" x14ac:dyDescent="0.25">
      <c r="B84" s="75" t="s">
        <v>203</v>
      </c>
      <c r="C84" s="87" t="s">
        <v>113</v>
      </c>
      <c r="D84" s="77" t="s">
        <v>28</v>
      </c>
      <c r="E84" s="77" t="s">
        <v>41</v>
      </c>
      <c r="F84" s="77"/>
      <c r="G84" s="77"/>
      <c r="H84" s="77">
        <v>1</v>
      </c>
      <c r="I84" s="84"/>
      <c r="J84" s="84"/>
      <c r="K84" s="77">
        <v>2</v>
      </c>
      <c r="L84" s="79">
        <v>17697</v>
      </c>
      <c r="M84" s="85">
        <v>1</v>
      </c>
      <c r="N84" s="85"/>
      <c r="O84" s="77">
        <v>1.71</v>
      </c>
      <c r="P84" s="79">
        <f t="shared" si="36"/>
        <v>30261.87</v>
      </c>
      <c r="Q84" s="80">
        <f t="shared" si="37"/>
        <v>0</v>
      </c>
      <c r="R84" s="81">
        <f t="shared" si="38"/>
        <v>0</v>
      </c>
      <c r="S84" s="82">
        <f t="shared" si="39"/>
        <v>0.1</v>
      </c>
      <c r="T84" s="81">
        <f t="shared" si="40"/>
        <v>3026.19</v>
      </c>
      <c r="U84" s="86">
        <v>0.3</v>
      </c>
      <c r="V84" s="53">
        <f t="shared" ref="V84:V85" si="44">L84*U84*M84</f>
        <v>5309.0999999999995</v>
      </c>
      <c r="W84" s="18">
        <f t="shared" si="43"/>
        <v>38597.160000000003</v>
      </c>
      <c r="X84" s="222"/>
    </row>
    <row r="85" spans="2:24" ht="15" x14ac:dyDescent="0.25">
      <c r="B85" s="46" t="s">
        <v>208</v>
      </c>
      <c r="C85" s="56" t="s">
        <v>209</v>
      </c>
      <c r="D85" s="4" t="s">
        <v>35</v>
      </c>
      <c r="E85" s="4" t="s">
        <v>210</v>
      </c>
      <c r="F85" s="71"/>
      <c r="G85" s="71"/>
      <c r="H85" s="71" t="s">
        <v>65</v>
      </c>
      <c r="I85" s="12" t="s">
        <v>48</v>
      </c>
      <c r="J85" s="12" t="s">
        <v>49</v>
      </c>
      <c r="K85" s="5">
        <v>4</v>
      </c>
      <c r="L85" s="48">
        <v>17697</v>
      </c>
      <c r="M85" s="70">
        <v>1</v>
      </c>
      <c r="N85" s="48"/>
      <c r="O85" s="48">
        <v>2.63</v>
      </c>
      <c r="P85" s="48">
        <f t="shared" si="36"/>
        <v>46543.11</v>
      </c>
      <c r="Q85" s="49">
        <f t="shared" si="37"/>
        <v>0</v>
      </c>
      <c r="R85" s="50">
        <f t="shared" si="38"/>
        <v>0</v>
      </c>
      <c r="S85" s="51">
        <f t="shared" si="39"/>
        <v>0.1</v>
      </c>
      <c r="T85" s="50">
        <f t="shared" si="40"/>
        <v>4654.3100000000004</v>
      </c>
      <c r="U85" s="52">
        <v>0.4</v>
      </c>
      <c r="V85" s="53">
        <f t="shared" si="44"/>
        <v>7078.8</v>
      </c>
      <c r="W85" s="53">
        <f t="shared" ref="W85" si="45">ROUND(P85*M85+T85+R85+V85,2)</f>
        <v>58276.22</v>
      </c>
      <c r="X85" s="222"/>
    </row>
    <row r="87" spans="2:24" x14ac:dyDescent="0.25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2"/>
      <c r="O87" s="22"/>
    </row>
    <row r="88" spans="2:24" ht="15" x14ac:dyDescent="0.25">
      <c r="C88" s="255" t="s">
        <v>27</v>
      </c>
      <c r="D88" s="487"/>
      <c r="E88" s="487"/>
      <c r="F88" s="253"/>
      <c r="G88" s="252"/>
      <c r="H88" s="252"/>
      <c r="I88" s="252"/>
      <c r="L88" s="487" t="s">
        <v>127</v>
      </c>
      <c r="M88" s="487"/>
      <c r="N88" s="488"/>
      <c r="O88" s="24"/>
    </row>
    <row r="89" spans="2:24" ht="15" x14ac:dyDescent="0.25">
      <c r="C89" s="255"/>
      <c r="D89" s="478" t="s">
        <v>128</v>
      </c>
      <c r="E89" s="478"/>
      <c r="F89" s="478"/>
      <c r="G89" s="252"/>
      <c r="H89" s="252"/>
      <c r="I89" s="252"/>
      <c r="J89" s="254"/>
      <c r="K89" s="254"/>
      <c r="L89" s="479" t="s">
        <v>129</v>
      </c>
      <c r="M89" s="479"/>
      <c r="N89" s="480"/>
      <c r="O89" s="254"/>
    </row>
    <row r="90" spans="2:24" x14ac:dyDescent="0.25">
      <c r="C90" s="255"/>
      <c r="D90" s="254"/>
      <c r="F90" s="254"/>
      <c r="G90" s="254"/>
      <c r="H90" s="254"/>
      <c r="I90" s="254"/>
      <c r="J90" s="254"/>
      <c r="K90" s="254"/>
      <c r="L90" s="252"/>
      <c r="M90" s="252"/>
      <c r="N90" s="255"/>
      <c r="O90" s="254"/>
    </row>
    <row r="91" spans="2:24" ht="15" x14ac:dyDescent="0.25">
      <c r="C91" s="255" t="s">
        <v>40</v>
      </c>
      <c r="D91" s="487"/>
      <c r="E91" s="487"/>
      <c r="F91" s="253"/>
      <c r="G91" s="252"/>
      <c r="H91" s="252"/>
      <c r="I91" s="252"/>
      <c r="L91" s="487" t="s">
        <v>169</v>
      </c>
      <c r="M91" s="487"/>
      <c r="N91" s="488"/>
      <c r="O91" s="254"/>
    </row>
    <row r="92" spans="2:24" ht="15" x14ac:dyDescent="0.25">
      <c r="C92" s="255"/>
      <c r="D92" s="478" t="s">
        <v>128</v>
      </c>
      <c r="E92" s="478"/>
      <c r="F92" s="478"/>
      <c r="G92" s="252"/>
      <c r="H92" s="252"/>
      <c r="I92" s="252"/>
      <c r="L92" s="479" t="s">
        <v>129</v>
      </c>
      <c r="M92" s="479"/>
      <c r="N92" s="480"/>
      <c r="O92" s="254"/>
    </row>
    <row r="93" spans="2:24" x14ac:dyDescent="0.25">
      <c r="C93" s="27"/>
      <c r="D93" s="254"/>
      <c r="N93" s="255"/>
      <c r="O93" s="254"/>
    </row>
    <row r="94" spans="2:24" x14ac:dyDescent="0.25">
      <c r="C94" s="28" t="s">
        <v>133</v>
      </c>
      <c r="D94" s="254"/>
      <c r="N94" s="255"/>
      <c r="O94" s="254"/>
    </row>
    <row r="97" spans="2:23" ht="15" x14ac:dyDescent="0.25">
      <c r="B97" s="42" t="s">
        <v>171</v>
      </c>
      <c r="C97" s="56" t="s">
        <v>63</v>
      </c>
      <c r="D97" s="4" t="s">
        <v>28</v>
      </c>
      <c r="E97" s="4" t="s">
        <v>205</v>
      </c>
      <c r="F97" s="71"/>
      <c r="G97" s="71"/>
      <c r="H97" s="71" t="s">
        <v>65</v>
      </c>
      <c r="I97" s="12"/>
      <c r="J97" s="12" t="s">
        <v>37</v>
      </c>
      <c r="K97" s="5">
        <v>2</v>
      </c>
      <c r="L97" s="48">
        <v>17697</v>
      </c>
      <c r="M97" s="70">
        <v>0.5</v>
      </c>
      <c r="N97" s="48"/>
      <c r="O97" s="48">
        <v>3.45</v>
      </c>
      <c r="P97" s="48">
        <f t="shared" ref="P97" si="46">L97*O97</f>
        <v>61054.65</v>
      </c>
      <c r="Q97" s="209">
        <f t="shared" ref="Q97" si="47">IF(G97&gt;0,25%,0)</f>
        <v>0</v>
      </c>
      <c r="R97" s="53">
        <f t="shared" ref="R97" si="48">ROUND((P97+T97)*Q97,2)</f>
        <v>0</v>
      </c>
      <c r="S97" s="210">
        <f t="shared" ref="S97" si="49">IF(H97&gt;0,10%,0)</f>
        <v>0.1</v>
      </c>
      <c r="T97" s="53">
        <f t="shared" ref="T97" si="50">ROUND(P97*S97*M97,2)</f>
        <v>3052.73</v>
      </c>
      <c r="U97" s="55"/>
      <c r="V97" s="53">
        <f t="shared" ref="V97" si="51">L97*U97*M97</f>
        <v>0</v>
      </c>
      <c r="W97" s="53">
        <f t="shared" ref="W97" si="52">ROUND(P97*M97+T97+R97+V97,2)</f>
        <v>33580.06</v>
      </c>
    </row>
  </sheetData>
  <mergeCells count="57">
    <mergeCell ref="D92:F92"/>
    <mergeCell ref="L92:N92"/>
    <mergeCell ref="E76:O76"/>
    <mergeCell ref="D88:E88"/>
    <mergeCell ref="L88:N88"/>
    <mergeCell ref="D89:F89"/>
    <mergeCell ref="L89:N89"/>
    <mergeCell ref="D91:E91"/>
    <mergeCell ref="L91:N91"/>
    <mergeCell ref="AE7:AE8"/>
    <mergeCell ref="C69:E69"/>
    <mergeCell ref="K69:M69"/>
    <mergeCell ref="AD69:AD70"/>
    <mergeCell ref="C71:D71"/>
    <mergeCell ref="K71:M71"/>
    <mergeCell ref="M7:M8"/>
    <mergeCell ref="U7:V7"/>
    <mergeCell ref="Q7:R7"/>
    <mergeCell ref="S7:T7"/>
    <mergeCell ref="N7:N8"/>
    <mergeCell ref="C72:E72"/>
    <mergeCell ref="K72:M72"/>
    <mergeCell ref="AF7:AF8"/>
    <mergeCell ref="A15:D15"/>
    <mergeCell ref="A50:D50"/>
    <mergeCell ref="A65:D65"/>
    <mergeCell ref="A66:D66"/>
    <mergeCell ref="C68:D68"/>
    <mergeCell ref="K68:M68"/>
    <mergeCell ref="W7:W8"/>
    <mergeCell ref="Z7:Z8"/>
    <mergeCell ref="AA7:AA8"/>
    <mergeCell ref="AB7:AB8"/>
    <mergeCell ref="AD7:AD8"/>
    <mergeCell ref="O7:O8"/>
    <mergeCell ref="P7:P8"/>
    <mergeCell ref="AD5:AD6"/>
    <mergeCell ref="AE5:AE6"/>
    <mergeCell ref="AF5:AF6"/>
    <mergeCell ref="A7:A8"/>
    <mergeCell ref="B7:B8"/>
    <mergeCell ref="C7:C8"/>
    <mergeCell ref="D7:D8"/>
    <mergeCell ref="E7:E8"/>
    <mergeCell ref="F7:F8"/>
    <mergeCell ref="G7:G8"/>
    <mergeCell ref="AB5:AB6"/>
    <mergeCell ref="H7:H8"/>
    <mergeCell ref="I7:I8"/>
    <mergeCell ref="J7:J8"/>
    <mergeCell ref="K7:K8"/>
    <mergeCell ref="L7:L8"/>
    <mergeCell ref="A2:W2"/>
    <mergeCell ref="A3:W3"/>
    <mergeCell ref="S5:T5"/>
    <mergeCell ref="Z5:Z6"/>
    <mergeCell ref="AA5:AA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7"/>
  <sheetViews>
    <sheetView topLeftCell="A7" workbookViewId="0">
      <selection activeCell="A10" sqref="A1:XFD1048576"/>
    </sheetView>
  </sheetViews>
  <sheetFormatPr defaultRowHeight="15.75" x14ac:dyDescent="0.25"/>
  <cols>
    <col min="1" max="1" width="5" style="101" customWidth="1"/>
    <col min="2" max="2" width="23.85546875" style="105" customWidth="1"/>
    <col min="3" max="4" width="5.7109375" style="105" customWidth="1"/>
    <col min="5" max="5" width="7.5703125" style="101" customWidth="1"/>
    <col min="6" max="6" width="9.7109375" style="185" customWidth="1"/>
    <col min="7" max="7" width="6" style="185" customWidth="1"/>
    <col min="8" max="8" width="12.28515625" style="185" customWidth="1"/>
    <col min="9" max="9" width="17.28515625" style="185" customWidth="1"/>
    <col min="10" max="10" width="6.28515625" style="185" hidden="1" customWidth="1"/>
    <col min="11" max="11" width="11.42578125" style="185" hidden="1" customWidth="1"/>
    <col min="12" max="12" width="6.85546875" style="185" customWidth="1"/>
    <col min="13" max="13" width="17" style="185" customWidth="1"/>
    <col min="14" max="14" width="5.7109375" style="185" customWidth="1"/>
    <col min="15" max="15" width="15" style="185" customWidth="1"/>
    <col min="16" max="16" width="18.140625" style="186" customWidth="1"/>
    <col min="17" max="17" width="18" style="101" customWidth="1"/>
    <col min="18" max="18" width="13.42578125" style="101" customWidth="1"/>
    <col min="19" max="19" width="15" style="101" hidden="1" customWidth="1"/>
    <col min="20" max="20" width="25.28515625" style="101" hidden="1" customWidth="1"/>
    <col min="21" max="21" width="25.7109375" style="101" hidden="1" customWidth="1"/>
    <col min="22" max="16384" width="9.140625" style="101"/>
  </cols>
  <sheetData>
    <row r="1" spans="1:29" ht="14.25" customHeight="1" x14ac:dyDescent="0.25">
      <c r="B1" s="102"/>
      <c r="C1" s="102"/>
      <c r="D1" s="102"/>
      <c r="E1" s="103"/>
      <c r="F1" s="104"/>
      <c r="G1" s="497" t="s">
        <v>135</v>
      </c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29" ht="25.5" customHeight="1" x14ac:dyDescent="0.25">
      <c r="B2" s="498"/>
      <c r="C2" s="498"/>
      <c r="D2" s="498"/>
      <c r="E2" s="498"/>
      <c r="F2" s="104"/>
      <c r="G2" s="499" t="s">
        <v>136</v>
      </c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29" ht="12" customHeight="1" x14ac:dyDescent="0.25">
      <c r="E3" s="103"/>
      <c r="F3" s="104"/>
      <c r="G3" s="499" t="s">
        <v>137</v>
      </c>
      <c r="H3" s="499"/>
      <c r="I3" s="499"/>
      <c r="J3" s="499"/>
      <c r="K3" s="499"/>
      <c r="L3" s="499"/>
      <c r="M3" s="499"/>
      <c r="N3" s="499"/>
      <c r="O3" s="106"/>
      <c r="P3" s="107"/>
      <c r="Q3" s="106"/>
    </row>
    <row r="4" spans="1:29" ht="13.5" customHeight="1" x14ac:dyDescent="0.25">
      <c r="E4" s="103"/>
      <c r="F4" s="104"/>
      <c r="G4" s="104"/>
      <c r="H4" s="104"/>
      <c r="I4" s="495" t="s">
        <v>138</v>
      </c>
      <c r="J4" s="495"/>
      <c r="K4" s="495"/>
      <c r="L4" s="495"/>
      <c r="M4" s="495"/>
      <c r="N4" s="500"/>
      <c r="O4" s="500"/>
      <c r="P4" s="500"/>
      <c r="Q4" s="500"/>
    </row>
    <row r="5" spans="1:29" ht="13.5" customHeight="1" x14ac:dyDescent="0.25">
      <c r="E5" s="103"/>
      <c r="F5" s="104"/>
      <c r="G5" s="495" t="s">
        <v>253</v>
      </c>
      <c r="H5" s="495"/>
      <c r="I5" s="495"/>
      <c r="J5" s="495"/>
      <c r="K5" s="495"/>
      <c r="L5" s="495"/>
      <c r="M5" s="495"/>
      <c r="N5" s="496"/>
      <c r="O5" s="496"/>
      <c r="P5" s="496"/>
      <c r="Q5" s="496"/>
    </row>
    <row r="6" spans="1:29" ht="22.5" customHeight="1" x14ac:dyDescent="0.25">
      <c r="E6" s="103"/>
      <c r="F6" s="501" t="s">
        <v>254</v>
      </c>
      <c r="G6" s="501"/>
      <c r="H6" s="501"/>
      <c r="I6" s="501"/>
      <c r="J6" s="501"/>
      <c r="K6" s="501"/>
      <c r="L6" s="501"/>
      <c r="M6" s="501"/>
      <c r="N6" s="500"/>
      <c r="O6" s="500"/>
      <c r="P6" s="500"/>
      <c r="Q6" s="500"/>
    </row>
    <row r="7" spans="1:29" ht="11.25" customHeight="1" x14ac:dyDescent="0.25">
      <c r="B7" s="244"/>
      <c r="C7" s="244"/>
      <c r="D7" s="244"/>
      <c r="E7" s="244"/>
      <c r="F7" s="244"/>
      <c r="G7" s="502" t="s">
        <v>139</v>
      </c>
      <c r="H7" s="502"/>
      <c r="I7" s="502"/>
      <c r="J7" s="502"/>
      <c r="K7" s="502"/>
      <c r="L7" s="502"/>
      <c r="M7" s="502"/>
      <c r="N7" s="500"/>
      <c r="O7" s="500"/>
      <c r="P7" s="500"/>
      <c r="Q7" s="500"/>
    </row>
    <row r="8" spans="1:29" ht="14.25" customHeight="1" x14ac:dyDescent="0.25">
      <c r="B8" s="244"/>
      <c r="C8" s="244"/>
      <c r="D8" s="244"/>
      <c r="E8" s="244"/>
      <c r="F8" s="244"/>
      <c r="G8" s="246"/>
      <c r="H8" s="246"/>
      <c r="I8" s="246"/>
      <c r="J8" s="246"/>
      <c r="K8" s="246"/>
      <c r="L8" s="246"/>
      <c r="M8" s="246"/>
      <c r="N8" s="101"/>
      <c r="O8" s="101"/>
      <c r="P8" s="109"/>
    </row>
    <row r="9" spans="1:29" ht="12.75" hidden="1" customHeight="1" x14ac:dyDescent="0.25"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</row>
    <row r="10" spans="1:29" ht="15" customHeight="1" x14ac:dyDescent="0.25">
      <c r="A10" s="497" t="s">
        <v>140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T10" s="110"/>
    </row>
    <row r="11" spans="1:29" ht="12.75" customHeight="1" x14ac:dyDescent="0.25">
      <c r="A11" s="503" t="s">
        <v>141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</row>
    <row r="12" spans="1:29" x14ac:dyDescent="0.25">
      <c r="A12" s="499" t="s">
        <v>142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T12" s="104"/>
      <c r="U12" s="104"/>
      <c r="V12" s="104"/>
      <c r="W12" s="497"/>
      <c r="X12" s="497"/>
      <c r="Y12" s="497"/>
      <c r="Z12" s="497"/>
      <c r="AA12" s="497"/>
      <c r="AB12" s="497"/>
      <c r="AC12" s="497"/>
    </row>
    <row r="13" spans="1:29" ht="16.5" thickBot="1" x14ac:dyDescent="0.3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112"/>
      <c r="T13" s="104"/>
      <c r="U13" s="499"/>
      <c r="V13" s="499"/>
      <c r="W13" s="505"/>
      <c r="X13" s="505"/>
      <c r="Y13" s="505"/>
      <c r="Z13" s="505"/>
      <c r="AA13" s="505"/>
      <c r="AB13" s="505"/>
      <c r="AC13" s="505"/>
    </row>
    <row r="14" spans="1:29" s="113" customFormat="1" ht="69.75" customHeight="1" thickBot="1" x14ac:dyDescent="0.3">
      <c r="A14" s="509" t="s">
        <v>143</v>
      </c>
      <c r="B14" s="509" t="s">
        <v>144</v>
      </c>
      <c r="C14" s="509" t="s">
        <v>13</v>
      </c>
      <c r="D14" s="509" t="s">
        <v>14</v>
      </c>
      <c r="E14" s="509" t="s">
        <v>15</v>
      </c>
      <c r="F14" s="509" t="s">
        <v>145</v>
      </c>
      <c r="G14" s="509" t="s">
        <v>146</v>
      </c>
      <c r="H14" s="509" t="s">
        <v>147</v>
      </c>
      <c r="I14" s="509" t="s">
        <v>148</v>
      </c>
      <c r="J14" s="511" t="s">
        <v>20</v>
      </c>
      <c r="K14" s="512"/>
      <c r="L14" s="511" t="s">
        <v>21</v>
      </c>
      <c r="M14" s="512"/>
      <c r="N14" s="511" t="s">
        <v>149</v>
      </c>
      <c r="O14" s="512"/>
      <c r="P14" s="513" t="s">
        <v>150</v>
      </c>
      <c r="Q14" s="506" t="s">
        <v>151</v>
      </c>
      <c r="T14" s="104"/>
      <c r="U14" s="104"/>
      <c r="V14" s="104"/>
      <c r="W14" s="495"/>
      <c r="X14" s="495"/>
      <c r="Y14" s="495"/>
      <c r="Z14" s="495"/>
      <c r="AA14" s="495"/>
      <c r="AB14" s="495"/>
      <c r="AC14" s="495"/>
    </row>
    <row r="15" spans="1:29" s="113" customFormat="1" ht="29.25" customHeight="1" thickBot="1" x14ac:dyDescent="0.3">
      <c r="A15" s="510"/>
      <c r="B15" s="510"/>
      <c r="C15" s="510"/>
      <c r="D15" s="510"/>
      <c r="E15" s="510"/>
      <c r="F15" s="510"/>
      <c r="G15" s="510"/>
      <c r="H15" s="510"/>
      <c r="I15" s="510"/>
      <c r="J15" s="247" t="s">
        <v>24</v>
      </c>
      <c r="K15" s="247" t="s">
        <v>25</v>
      </c>
      <c r="L15" s="247" t="s">
        <v>24</v>
      </c>
      <c r="M15" s="247" t="s">
        <v>25</v>
      </c>
      <c r="N15" s="247" t="s">
        <v>24</v>
      </c>
      <c r="O15" s="247" t="s">
        <v>152</v>
      </c>
      <c r="P15" s="514"/>
      <c r="Q15" s="507"/>
      <c r="T15" s="104"/>
      <c r="U15" s="508"/>
      <c r="V15" s="508"/>
      <c r="W15" s="508"/>
      <c r="X15" s="508"/>
      <c r="Y15" s="508"/>
      <c r="Z15" s="508"/>
      <c r="AA15" s="508"/>
      <c r="AB15" s="508"/>
      <c r="AC15" s="508"/>
    </row>
    <row r="16" spans="1:29" ht="39.75" customHeight="1" x14ac:dyDescent="0.25">
      <c r="A16" s="114"/>
      <c r="B16" s="115" t="s">
        <v>153</v>
      </c>
      <c r="C16" s="115"/>
      <c r="D16" s="115"/>
      <c r="E16" s="116"/>
      <c r="F16" s="117"/>
      <c r="G16" s="117"/>
      <c r="H16" s="117"/>
      <c r="I16" s="118"/>
      <c r="J16" s="118"/>
      <c r="K16" s="118"/>
      <c r="L16" s="118"/>
      <c r="M16" s="118"/>
      <c r="N16" s="118"/>
      <c r="O16" s="118"/>
      <c r="P16" s="119"/>
      <c r="Q16" s="120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</row>
    <row r="17" spans="1:29" ht="12.75" customHeight="1" x14ac:dyDescent="0.25">
      <c r="A17" s="114">
        <v>1</v>
      </c>
      <c r="B17" s="121" t="s">
        <v>154</v>
      </c>
      <c r="C17" s="122" t="s">
        <v>30</v>
      </c>
      <c r="D17" s="122" t="s">
        <v>31</v>
      </c>
      <c r="E17" s="123">
        <v>3</v>
      </c>
      <c r="F17" s="124">
        <v>1</v>
      </c>
      <c r="G17" s="123">
        <v>4.9400000000000004</v>
      </c>
      <c r="H17" s="125">
        <v>17697</v>
      </c>
      <c r="I17" s="125">
        <f t="shared" ref="I17:I22" si="0">G17*H17</f>
        <v>87423.180000000008</v>
      </c>
      <c r="J17" s="126">
        <v>0</v>
      </c>
      <c r="K17" s="124">
        <f>ROUND(I17*J17,2)+(M17*J17)</f>
        <v>0</v>
      </c>
      <c r="L17" s="126">
        <v>0.1</v>
      </c>
      <c r="M17" s="125">
        <f>ROUND(I17*L17*F17,2)</f>
        <v>8742.32</v>
      </c>
      <c r="N17" s="126">
        <v>0.3</v>
      </c>
      <c r="O17" s="124">
        <f t="shared" ref="O17:O22" si="1">ROUND(H17*N17,2)</f>
        <v>5309.1</v>
      </c>
      <c r="P17" s="127">
        <f t="shared" ref="P17:P22" si="2">ROUND((I17*F17)+M17+K17+O17,2)</f>
        <v>101474.6</v>
      </c>
      <c r="Q17" s="128">
        <f t="shared" ref="Q17:Q22" si="3">P17*12</f>
        <v>1217695.2000000002</v>
      </c>
      <c r="S17" s="129"/>
      <c r="T17" s="244"/>
      <c r="U17" s="502"/>
      <c r="V17" s="502"/>
      <c r="W17" s="502"/>
      <c r="X17" s="502"/>
      <c r="Y17" s="502"/>
      <c r="Z17" s="502"/>
      <c r="AA17" s="502"/>
      <c r="AB17" s="502"/>
      <c r="AC17" s="502"/>
    </row>
    <row r="18" spans="1:29" ht="12.75" hidden="1" customHeight="1" x14ac:dyDescent="0.25">
      <c r="A18" s="114"/>
      <c r="B18" s="121" t="s">
        <v>32</v>
      </c>
      <c r="C18" s="122" t="s">
        <v>30</v>
      </c>
      <c r="D18" s="122" t="s">
        <v>31</v>
      </c>
      <c r="E18" s="123">
        <v>3</v>
      </c>
      <c r="F18" s="124"/>
      <c r="G18" s="124"/>
      <c r="H18" s="125">
        <v>17697</v>
      </c>
      <c r="I18" s="125">
        <f t="shared" si="0"/>
        <v>0</v>
      </c>
      <c r="J18" s="126">
        <v>0</v>
      </c>
      <c r="K18" s="124">
        <f>ROUND(I18*J18,2)+(M18*J18)</f>
        <v>0</v>
      </c>
      <c r="L18" s="126">
        <v>0.1</v>
      </c>
      <c r="M18" s="125">
        <f>ROUND(I18*L18*F18,2)</f>
        <v>0</v>
      </c>
      <c r="N18" s="126"/>
      <c r="O18" s="124">
        <f t="shared" si="1"/>
        <v>0</v>
      </c>
      <c r="P18" s="127">
        <f t="shared" si="2"/>
        <v>0</v>
      </c>
      <c r="Q18" s="128">
        <f t="shared" si="3"/>
        <v>0</v>
      </c>
      <c r="R18" s="130"/>
      <c r="S18" s="129"/>
      <c r="T18" s="244"/>
      <c r="U18" s="246"/>
      <c r="V18" s="246"/>
      <c r="W18" s="246"/>
      <c r="X18" s="246"/>
      <c r="Y18" s="246"/>
      <c r="Z18" s="246"/>
      <c r="AA18" s="246"/>
      <c r="AB18" s="246"/>
      <c r="AC18" s="246"/>
    </row>
    <row r="19" spans="1:29" ht="12.75" hidden="1" customHeight="1" x14ac:dyDescent="0.25">
      <c r="A19" s="114"/>
      <c r="B19" s="121" t="s">
        <v>33</v>
      </c>
      <c r="C19" s="131"/>
      <c r="D19" s="131"/>
      <c r="E19" s="123">
        <v>3</v>
      </c>
      <c r="F19" s="124"/>
      <c r="G19" s="124"/>
      <c r="H19" s="125">
        <v>17697</v>
      </c>
      <c r="I19" s="125">
        <f t="shared" si="0"/>
        <v>0</v>
      </c>
      <c r="J19" s="126">
        <v>0</v>
      </c>
      <c r="K19" s="124">
        <f>ROUND(I19*J19,2)+(M19*J19)</f>
        <v>0</v>
      </c>
      <c r="L19" s="126">
        <v>0.1</v>
      </c>
      <c r="M19" s="125">
        <f>ROUND(I19*L19*1.5,2)</f>
        <v>0</v>
      </c>
      <c r="N19" s="126"/>
      <c r="O19" s="124">
        <f t="shared" si="1"/>
        <v>0</v>
      </c>
      <c r="P19" s="127">
        <f t="shared" si="2"/>
        <v>0</v>
      </c>
      <c r="Q19" s="128">
        <f t="shared" si="3"/>
        <v>0</v>
      </c>
      <c r="R19" s="130"/>
      <c r="S19" s="129"/>
      <c r="T19" s="132"/>
      <c r="U19" s="129"/>
    </row>
    <row r="20" spans="1:29" ht="12.75" customHeight="1" x14ac:dyDescent="0.25">
      <c r="A20" s="114">
        <v>2</v>
      </c>
      <c r="B20" s="121" t="s">
        <v>34</v>
      </c>
      <c r="C20" s="131"/>
      <c r="D20" s="133" t="s">
        <v>37</v>
      </c>
      <c r="E20" s="134">
        <v>3</v>
      </c>
      <c r="F20" s="124">
        <v>1</v>
      </c>
      <c r="G20" s="123">
        <v>2.4</v>
      </c>
      <c r="H20" s="125">
        <v>17697</v>
      </c>
      <c r="I20" s="125">
        <f t="shared" si="0"/>
        <v>42472.799999999996</v>
      </c>
      <c r="J20" s="126">
        <v>0</v>
      </c>
      <c r="K20" s="124">
        <f>ROUND(I20*J20,2)</f>
        <v>0</v>
      </c>
      <c r="L20" s="126">
        <v>0.1</v>
      </c>
      <c r="M20" s="125">
        <f>ROUND(I20*L20*F20,2)</f>
        <v>4247.28</v>
      </c>
      <c r="N20" s="126"/>
      <c r="O20" s="124">
        <f t="shared" si="1"/>
        <v>0</v>
      </c>
      <c r="P20" s="127">
        <f t="shared" si="2"/>
        <v>46720.08</v>
      </c>
      <c r="Q20" s="128">
        <f t="shared" si="3"/>
        <v>560640.96</v>
      </c>
      <c r="S20" s="129"/>
      <c r="T20" s="132"/>
      <c r="U20" s="129"/>
    </row>
    <row r="21" spans="1:29" ht="12.75" hidden="1" customHeight="1" x14ac:dyDescent="0.25">
      <c r="A21" s="114"/>
      <c r="B21" s="135" t="s">
        <v>38</v>
      </c>
      <c r="C21" s="131"/>
      <c r="D21" s="136"/>
      <c r="E21" s="134"/>
      <c r="F21" s="124"/>
      <c r="G21" s="123"/>
      <c r="H21" s="125">
        <v>17697</v>
      </c>
      <c r="I21" s="125">
        <f t="shared" si="0"/>
        <v>0</v>
      </c>
      <c r="J21" s="126">
        <v>0</v>
      </c>
      <c r="K21" s="124">
        <f>ROUND(I21*J21,2)</f>
        <v>0</v>
      </c>
      <c r="L21" s="126">
        <v>0.1</v>
      </c>
      <c r="M21" s="125">
        <f>ROUND(I21*L21*F21,2)</f>
        <v>0</v>
      </c>
      <c r="N21" s="126"/>
      <c r="O21" s="124">
        <f t="shared" si="1"/>
        <v>0</v>
      </c>
      <c r="P21" s="127">
        <f t="shared" si="2"/>
        <v>0</v>
      </c>
      <c r="Q21" s="128">
        <f t="shared" si="3"/>
        <v>0</v>
      </c>
      <c r="S21" s="129"/>
      <c r="T21" s="132"/>
      <c r="U21" s="129"/>
    </row>
    <row r="22" spans="1:29" ht="12.75" customHeight="1" thickBot="1" x14ac:dyDescent="0.3">
      <c r="A22" s="114">
        <v>3</v>
      </c>
      <c r="B22" s="131" t="s">
        <v>40</v>
      </c>
      <c r="C22" s="131"/>
      <c r="D22" s="137" t="s">
        <v>37</v>
      </c>
      <c r="E22" s="138">
        <v>2</v>
      </c>
      <c r="F22" s="124">
        <v>0.5</v>
      </c>
      <c r="G22" s="124">
        <v>3.29</v>
      </c>
      <c r="H22" s="125">
        <v>17697</v>
      </c>
      <c r="I22" s="125">
        <f t="shared" si="0"/>
        <v>58223.13</v>
      </c>
      <c r="J22" s="126">
        <v>0</v>
      </c>
      <c r="K22" s="124">
        <f>ROUND(I22*J22,2)</f>
        <v>0</v>
      </c>
      <c r="L22" s="126">
        <v>0.1</v>
      </c>
      <c r="M22" s="125">
        <f>ROUND(I22*L22*F22,2)</f>
        <v>2911.16</v>
      </c>
      <c r="N22" s="126"/>
      <c r="O22" s="124">
        <f t="shared" si="1"/>
        <v>0</v>
      </c>
      <c r="P22" s="127">
        <f t="shared" si="2"/>
        <v>32022.73</v>
      </c>
      <c r="Q22" s="128">
        <f t="shared" si="3"/>
        <v>384272.76</v>
      </c>
      <c r="R22" s="130"/>
      <c r="S22" s="129"/>
      <c r="T22" s="132"/>
      <c r="U22" s="129"/>
    </row>
    <row r="23" spans="1:29" s="144" customFormat="1" ht="16.5" customHeight="1" thickBot="1" x14ac:dyDescent="0.3">
      <c r="A23" s="518" t="s">
        <v>42</v>
      </c>
      <c r="B23" s="519"/>
      <c r="C23" s="248"/>
      <c r="D23" s="248"/>
      <c r="E23" s="140"/>
      <c r="F23" s="141">
        <f>SUM(F17:F22)</f>
        <v>2.5</v>
      </c>
      <c r="G23" s="141"/>
      <c r="H23" s="141"/>
      <c r="I23" s="141">
        <f>SUM(I17:I22)</f>
        <v>188119.11000000002</v>
      </c>
      <c r="J23" s="141"/>
      <c r="K23" s="141">
        <f>SUM(K17:K22)</f>
        <v>0</v>
      </c>
      <c r="L23" s="141"/>
      <c r="M23" s="141">
        <f>SUM(M17:M22)</f>
        <v>15900.759999999998</v>
      </c>
      <c r="N23" s="142"/>
      <c r="O23" s="141">
        <f>SUM(O17:O22)</f>
        <v>5309.1</v>
      </c>
      <c r="P23" s="141">
        <f>ROUND(SUM(P17:P22),2)</f>
        <v>180217.41</v>
      </c>
      <c r="Q23" s="143">
        <f>SUM(Q17:Q22)</f>
        <v>2162608.92</v>
      </c>
      <c r="S23" s="145">
        <f>'[1]РАСЧЁТЫ по действующей системе'!W15</f>
        <v>129895.99</v>
      </c>
      <c r="T23" s="146">
        <f>P23-S23</f>
        <v>50321.42</v>
      </c>
      <c r="U23" s="146" t="b">
        <f>IF(P23&lt;&gt;S23,FALSE,0)</f>
        <v>0</v>
      </c>
    </row>
    <row r="24" spans="1:29" ht="39.75" customHeight="1" x14ac:dyDescent="0.25">
      <c r="A24" s="114"/>
      <c r="B24" s="147" t="s">
        <v>155</v>
      </c>
      <c r="C24" s="148"/>
      <c r="D24" s="148"/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2"/>
      <c r="R24" s="130"/>
      <c r="S24" s="129"/>
      <c r="U24" s="129"/>
    </row>
    <row r="25" spans="1:29" ht="16.5" customHeight="1" x14ac:dyDescent="0.25">
      <c r="A25" s="114"/>
      <c r="B25" s="153" t="s">
        <v>46</v>
      </c>
      <c r="C25" s="154" t="s">
        <v>48</v>
      </c>
      <c r="D25" s="154" t="s">
        <v>53</v>
      </c>
      <c r="E25" s="155">
        <v>2</v>
      </c>
      <c r="F25" s="124">
        <v>0.75</v>
      </c>
      <c r="G25" s="124">
        <v>3.96</v>
      </c>
      <c r="H25" s="125">
        <v>17697</v>
      </c>
      <c r="I25" s="127">
        <f t="shared" ref="I25:I40" si="4">G25*H25</f>
        <v>70080.12</v>
      </c>
      <c r="J25" s="126">
        <v>0</v>
      </c>
      <c r="K25" s="124">
        <f t="shared" ref="K25:K42" si="5">ROUND(I25*J25,2)+(M25*J25)</f>
        <v>0</v>
      </c>
      <c r="L25" s="126">
        <v>0.1</v>
      </c>
      <c r="M25" s="125">
        <f t="shared" ref="M25:M42" si="6">ROUND(I25*L25*F25,2)</f>
        <v>5256.01</v>
      </c>
      <c r="N25" s="126">
        <v>0.4</v>
      </c>
      <c r="O25" s="124">
        <f>ROUND(H25*N25*F25,2)</f>
        <v>5309.1</v>
      </c>
      <c r="P25" s="127">
        <f t="shared" ref="P25:P38" si="7">ROUND((I25*F25)+M25+K25+O25,2)</f>
        <v>63125.2</v>
      </c>
      <c r="Q25" s="128">
        <f>P25*12</f>
        <v>757502.39999999991</v>
      </c>
      <c r="S25" s="129"/>
      <c r="T25" s="132"/>
      <c r="U25" s="129"/>
    </row>
    <row r="26" spans="1:29" ht="12.75" customHeight="1" x14ac:dyDescent="0.25">
      <c r="A26" s="114">
        <v>4</v>
      </c>
      <c r="B26" s="135" t="s">
        <v>252</v>
      </c>
      <c r="C26" s="154" t="s">
        <v>48</v>
      </c>
      <c r="D26" s="154" t="s">
        <v>53</v>
      </c>
      <c r="E26" s="155">
        <v>4</v>
      </c>
      <c r="F26" s="124">
        <v>1</v>
      </c>
      <c r="G26" s="124">
        <v>3.08</v>
      </c>
      <c r="H26" s="125">
        <v>17697</v>
      </c>
      <c r="I26" s="127">
        <f t="shared" si="4"/>
        <v>54506.76</v>
      </c>
      <c r="J26" s="126">
        <v>0</v>
      </c>
      <c r="K26" s="124">
        <f t="shared" si="5"/>
        <v>0</v>
      </c>
      <c r="L26" s="126">
        <v>0.1</v>
      </c>
      <c r="M26" s="125">
        <f t="shared" si="6"/>
        <v>5450.68</v>
      </c>
      <c r="N26" s="126">
        <v>0.4</v>
      </c>
      <c r="O26" s="124">
        <f t="shared" ref="O26:O42" si="8">ROUND(H26*N26*F26,2)</f>
        <v>7078.8</v>
      </c>
      <c r="P26" s="127">
        <f t="shared" si="7"/>
        <v>67036.240000000005</v>
      </c>
      <c r="Q26" s="128">
        <f t="shared" ref="Q26:Q42" si="9">P26*12</f>
        <v>804434.88000000012</v>
      </c>
      <c r="S26" s="129"/>
      <c r="T26" s="132"/>
      <c r="U26" s="129"/>
    </row>
    <row r="27" spans="1:29" x14ac:dyDescent="0.25">
      <c r="A27" s="114">
        <v>5</v>
      </c>
      <c r="B27" s="135" t="s">
        <v>58</v>
      </c>
      <c r="C27" s="154" t="s">
        <v>48</v>
      </c>
      <c r="D27" s="133" t="s">
        <v>56</v>
      </c>
      <c r="E27" s="134">
        <v>4</v>
      </c>
      <c r="F27" s="124">
        <v>0.5</v>
      </c>
      <c r="G27" s="124">
        <v>2.92</v>
      </c>
      <c r="H27" s="125">
        <v>17697</v>
      </c>
      <c r="I27" s="127">
        <f t="shared" si="4"/>
        <v>51675.24</v>
      </c>
      <c r="J27" s="126">
        <v>0</v>
      </c>
      <c r="K27" s="124">
        <f t="shared" si="5"/>
        <v>0</v>
      </c>
      <c r="L27" s="126">
        <v>0.1</v>
      </c>
      <c r="M27" s="125">
        <f t="shared" si="6"/>
        <v>2583.7600000000002</v>
      </c>
      <c r="N27" s="126">
        <v>0.4</v>
      </c>
      <c r="O27" s="124">
        <f t="shared" si="8"/>
        <v>3539.4</v>
      </c>
      <c r="P27" s="127">
        <f t="shared" si="7"/>
        <v>31960.78</v>
      </c>
      <c r="Q27" s="128">
        <f t="shared" si="9"/>
        <v>383529.36</v>
      </c>
      <c r="S27" s="129"/>
      <c r="T27" s="132"/>
      <c r="U27" s="129"/>
    </row>
    <row r="28" spans="1:29" x14ac:dyDescent="0.25">
      <c r="A28" s="114">
        <v>6</v>
      </c>
      <c r="B28" s="135" t="s">
        <v>60</v>
      </c>
      <c r="C28" s="154" t="s">
        <v>48</v>
      </c>
      <c r="D28" s="133" t="s">
        <v>53</v>
      </c>
      <c r="E28" s="134">
        <v>4</v>
      </c>
      <c r="F28" s="124">
        <v>1</v>
      </c>
      <c r="G28" s="124">
        <v>3.08</v>
      </c>
      <c r="H28" s="125">
        <v>17697</v>
      </c>
      <c r="I28" s="125">
        <f t="shared" si="4"/>
        <v>54506.76</v>
      </c>
      <c r="J28" s="126">
        <v>0</v>
      </c>
      <c r="K28" s="124">
        <f t="shared" si="5"/>
        <v>0</v>
      </c>
      <c r="L28" s="126">
        <v>0.1</v>
      </c>
      <c r="M28" s="127">
        <f t="shared" si="6"/>
        <v>5450.68</v>
      </c>
      <c r="N28" s="126">
        <v>0.4</v>
      </c>
      <c r="O28" s="124">
        <f t="shared" si="8"/>
        <v>7078.8</v>
      </c>
      <c r="P28" s="127">
        <f t="shared" si="7"/>
        <v>67036.240000000005</v>
      </c>
      <c r="Q28" s="128">
        <f t="shared" si="9"/>
        <v>804434.88000000012</v>
      </c>
      <c r="R28" s="130"/>
      <c r="S28" s="129"/>
      <c r="T28" s="132"/>
      <c r="U28" s="129"/>
    </row>
    <row r="29" spans="1:29" x14ac:dyDescent="0.25">
      <c r="A29" s="114"/>
      <c r="B29" s="135" t="s">
        <v>60</v>
      </c>
      <c r="C29" s="154" t="s">
        <v>48</v>
      </c>
      <c r="D29" s="133" t="s">
        <v>53</v>
      </c>
      <c r="E29" s="134">
        <v>4</v>
      </c>
      <c r="F29" s="124">
        <v>1</v>
      </c>
      <c r="G29" s="124">
        <v>3.08</v>
      </c>
      <c r="H29" s="125">
        <v>17697</v>
      </c>
      <c r="I29" s="125">
        <f t="shared" si="4"/>
        <v>54506.76</v>
      </c>
      <c r="J29" s="126">
        <v>0</v>
      </c>
      <c r="K29" s="124">
        <f t="shared" si="5"/>
        <v>0</v>
      </c>
      <c r="L29" s="126">
        <v>0.1</v>
      </c>
      <c r="M29" s="127">
        <f t="shared" si="6"/>
        <v>5450.68</v>
      </c>
      <c r="N29" s="126">
        <v>0.4</v>
      </c>
      <c r="O29" s="124">
        <f t="shared" si="8"/>
        <v>7078.8</v>
      </c>
      <c r="P29" s="127">
        <f t="shared" si="7"/>
        <v>67036.240000000005</v>
      </c>
      <c r="Q29" s="128">
        <f t="shared" si="9"/>
        <v>804434.88000000012</v>
      </c>
      <c r="R29" s="130"/>
      <c r="S29" s="129"/>
      <c r="T29" s="132"/>
      <c r="U29" s="129"/>
    </row>
    <row r="30" spans="1:29" x14ac:dyDescent="0.25">
      <c r="A30" s="114">
        <v>7</v>
      </c>
      <c r="B30" s="135" t="s">
        <v>157</v>
      </c>
      <c r="C30" s="154" t="s">
        <v>48</v>
      </c>
      <c r="D30" s="154" t="s">
        <v>53</v>
      </c>
      <c r="E30" s="155">
        <v>4</v>
      </c>
      <c r="F30" s="124">
        <v>2</v>
      </c>
      <c r="G30" s="124">
        <v>3.08</v>
      </c>
      <c r="H30" s="125">
        <v>17697</v>
      </c>
      <c r="I30" s="125">
        <f t="shared" si="4"/>
        <v>54506.76</v>
      </c>
      <c r="J30" s="126">
        <v>0</v>
      </c>
      <c r="K30" s="124">
        <f t="shared" si="5"/>
        <v>0</v>
      </c>
      <c r="L30" s="126">
        <v>0.1</v>
      </c>
      <c r="M30" s="127">
        <f t="shared" si="6"/>
        <v>10901.35</v>
      </c>
      <c r="N30" s="126">
        <v>0.4</v>
      </c>
      <c r="O30" s="124">
        <f t="shared" si="8"/>
        <v>14157.6</v>
      </c>
      <c r="P30" s="127">
        <f t="shared" si="7"/>
        <v>134072.47</v>
      </c>
      <c r="Q30" s="128">
        <f t="shared" si="9"/>
        <v>1608869.6400000001</v>
      </c>
      <c r="R30" s="130"/>
      <c r="S30" s="129"/>
      <c r="T30" s="132"/>
      <c r="U30" s="129"/>
    </row>
    <row r="31" spans="1:29" x14ac:dyDescent="0.25">
      <c r="A31" s="114"/>
      <c r="B31" s="135" t="s">
        <v>157</v>
      </c>
      <c r="C31" s="154" t="s">
        <v>48</v>
      </c>
      <c r="D31" s="154" t="s">
        <v>53</v>
      </c>
      <c r="E31" s="155">
        <v>4</v>
      </c>
      <c r="F31" s="124">
        <v>3</v>
      </c>
      <c r="G31" s="124">
        <v>3.14</v>
      </c>
      <c r="H31" s="125">
        <v>17697</v>
      </c>
      <c r="I31" s="125">
        <f t="shared" si="4"/>
        <v>55568.58</v>
      </c>
      <c r="J31" s="126">
        <v>0</v>
      </c>
      <c r="K31" s="124">
        <f t="shared" si="5"/>
        <v>0</v>
      </c>
      <c r="L31" s="126">
        <v>0.1</v>
      </c>
      <c r="M31" s="125">
        <f t="shared" si="6"/>
        <v>16670.57</v>
      </c>
      <c r="N31" s="126">
        <v>0.4</v>
      </c>
      <c r="O31" s="124">
        <f t="shared" si="8"/>
        <v>21236.400000000001</v>
      </c>
      <c r="P31" s="127">
        <f t="shared" si="7"/>
        <v>204612.71</v>
      </c>
      <c r="Q31" s="128">
        <f t="shared" si="9"/>
        <v>2455352.52</v>
      </c>
      <c r="S31" s="129"/>
      <c r="T31" s="132"/>
      <c r="U31" s="129"/>
    </row>
    <row r="32" spans="1:29" x14ac:dyDescent="0.25">
      <c r="A32" s="114"/>
      <c r="B32" s="135" t="s">
        <v>63</v>
      </c>
      <c r="C32" s="136" t="s">
        <v>48</v>
      </c>
      <c r="D32" s="136" t="s">
        <v>53</v>
      </c>
      <c r="E32" s="134">
        <v>3</v>
      </c>
      <c r="F32" s="124">
        <v>0.5</v>
      </c>
      <c r="G32" s="124">
        <v>3.73</v>
      </c>
      <c r="H32" s="125">
        <v>17697</v>
      </c>
      <c r="I32" s="125">
        <f t="shared" si="4"/>
        <v>66009.81</v>
      </c>
      <c r="J32" s="126">
        <v>0</v>
      </c>
      <c r="K32" s="124">
        <f t="shared" si="5"/>
        <v>0</v>
      </c>
      <c r="L32" s="126">
        <v>0.1</v>
      </c>
      <c r="M32" s="125">
        <f t="shared" si="6"/>
        <v>3300.49</v>
      </c>
      <c r="N32" s="126"/>
      <c r="O32" s="124">
        <f t="shared" si="8"/>
        <v>0</v>
      </c>
      <c r="P32" s="127">
        <f t="shared" si="7"/>
        <v>36305.4</v>
      </c>
      <c r="Q32" s="128">
        <f t="shared" si="9"/>
        <v>435664.80000000005</v>
      </c>
      <c r="S32" s="156"/>
      <c r="T32" s="132"/>
      <c r="U32" s="129"/>
    </row>
    <row r="33" spans="1:24" x14ac:dyDescent="0.25">
      <c r="A33" s="114">
        <v>8</v>
      </c>
      <c r="B33" s="135" t="s">
        <v>66</v>
      </c>
      <c r="C33" s="136" t="s">
        <v>48</v>
      </c>
      <c r="D33" s="136" t="s">
        <v>53</v>
      </c>
      <c r="E33" s="134">
        <v>4</v>
      </c>
      <c r="F33" s="124">
        <v>0.25</v>
      </c>
      <c r="G33" s="124">
        <v>3.65</v>
      </c>
      <c r="H33" s="125">
        <v>17697</v>
      </c>
      <c r="I33" s="125">
        <f t="shared" si="4"/>
        <v>64594.049999999996</v>
      </c>
      <c r="J33" s="126">
        <v>0</v>
      </c>
      <c r="K33" s="124">
        <f t="shared" si="5"/>
        <v>0</v>
      </c>
      <c r="L33" s="126">
        <v>0.1</v>
      </c>
      <c r="M33" s="125">
        <f t="shared" si="6"/>
        <v>1614.85</v>
      </c>
      <c r="N33" s="126">
        <v>0.4</v>
      </c>
      <c r="O33" s="124">
        <f t="shared" si="8"/>
        <v>1769.7</v>
      </c>
      <c r="P33" s="127">
        <f>ROUND((I33*F33)+M33+K33+O33,2)-0.01</f>
        <v>19533.050000000003</v>
      </c>
      <c r="Q33" s="128">
        <f t="shared" si="9"/>
        <v>234396.60000000003</v>
      </c>
      <c r="S33" s="129"/>
      <c r="T33" s="132"/>
      <c r="U33" s="129"/>
    </row>
    <row r="34" spans="1:24" x14ac:dyDescent="0.25">
      <c r="A34" s="114">
        <v>9</v>
      </c>
      <c r="B34" s="135" t="s">
        <v>68</v>
      </c>
      <c r="C34" s="136" t="s">
        <v>48</v>
      </c>
      <c r="D34" s="136" t="s">
        <v>53</v>
      </c>
      <c r="E34" s="134">
        <v>4</v>
      </c>
      <c r="F34" s="124">
        <v>0.25</v>
      </c>
      <c r="G34" s="124">
        <v>3.65</v>
      </c>
      <c r="H34" s="125">
        <v>17697</v>
      </c>
      <c r="I34" s="125">
        <f t="shared" si="4"/>
        <v>64594.049999999996</v>
      </c>
      <c r="J34" s="126">
        <v>0</v>
      </c>
      <c r="K34" s="124">
        <f t="shared" si="5"/>
        <v>0</v>
      </c>
      <c r="L34" s="126">
        <v>0.1</v>
      </c>
      <c r="M34" s="125">
        <f t="shared" si="6"/>
        <v>1614.85</v>
      </c>
      <c r="N34" s="126">
        <v>0.4</v>
      </c>
      <c r="O34" s="124">
        <f t="shared" si="8"/>
        <v>1769.7</v>
      </c>
      <c r="P34" s="127">
        <f t="shared" si="7"/>
        <v>19533.060000000001</v>
      </c>
      <c r="Q34" s="128">
        <f t="shared" si="9"/>
        <v>234396.72000000003</v>
      </c>
      <c r="S34" s="129"/>
      <c r="T34" s="132"/>
      <c r="U34" s="129"/>
    </row>
    <row r="35" spans="1:24" x14ac:dyDescent="0.25">
      <c r="A35" s="114">
        <v>10</v>
      </c>
      <c r="B35" s="135" t="s">
        <v>71</v>
      </c>
      <c r="C35" s="136" t="s">
        <v>48</v>
      </c>
      <c r="D35" s="136" t="s">
        <v>49</v>
      </c>
      <c r="E35" s="134">
        <v>4</v>
      </c>
      <c r="F35" s="124">
        <v>1</v>
      </c>
      <c r="G35" s="124">
        <v>2.68</v>
      </c>
      <c r="H35" s="125">
        <v>17697</v>
      </c>
      <c r="I35" s="125">
        <f t="shared" si="4"/>
        <v>47427.960000000006</v>
      </c>
      <c r="J35" s="126">
        <v>0</v>
      </c>
      <c r="K35" s="124">
        <f t="shared" si="5"/>
        <v>0</v>
      </c>
      <c r="L35" s="126">
        <v>0.1</v>
      </c>
      <c r="M35" s="125">
        <f t="shared" si="6"/>
        <v>4742.8</v>
      </c>
      <c r="N35" s="126">
        <v>0.4</v>
      </c>
      <c r="O35" s="124">
        <f t="shared" si="8"/>
        <v>7078.8</v>
      </c>
      <c r="P35" s="127">
        <f t="shared" si="7"/>
        <v>59249.56</v>
      </c>
      <c r="Q35" s="128">
        <f t="shared" si="9"/>
        <v>710994.72</v>
      </c>
      <c r="R35" s="130"/>
      <c r="S35" s="129"/>
      <c r="T35" s="132"/>
      <c r="U35" s="129"/>
    </row>
    <row r="36" spans="1:24" x14ac:dyDescent="0.25">
      <c r="A36" s="114">
        <v>11</v>
      </c>
      <c r="B36" s="135" t="s">
        <v>158</v>
      </c>
      <c r="C36" s="136" t="s">
        <v>48</v>
      </c>
      <c r="D36" s="136" t="s">
        <v>49</v>
      </c>
      <c r="E36" s="134">
        <v>4</v>
      </c>
      <c r="F36" s="124">
        <v>0.5</v>
      </c>
      <c r="G36" s="124">
        <v>2.68</v>
      </c>
      <c r="H36" s="125">
        <v>17697</v>
      </c>
      <c r="I36" s="125">
        <f t="shared" si="4"/>
        <v>47427.960000000006</v>
      </c>
      <c r="J36" s="126">
        <v>0</v>
      </c>
      <c r="K36" s="124">
        <f t="shared" si="5"/>
        <v>0</v>
      </c>
      <c r="L36" s="126">
        <v>0.1</v>
      </c>
      <c r="M36" s="125">
        <f t="shared" si="6"/>
        <v>2371.4</v>
      </c>
      <c r="N36" s="126">
        <v>0.4</v>
      </c>
      <c r="O36" s="124">
        <f t="shared" si="8"/>
        <v>3539.4</v>
      </c>
      <c r="P36" s="127">
        <f t="shared" si="7"/>
        <v>29624.78</v>
      </c>
      <c r="Q36" s="128">
        <f t="shared" si="9"/>
        <v>355497.36</v>
      </c>
      <c r="R36" s="130"/>
      <c r="S36" s="129"/>
      <c r="T36" s="132"/>
      <c r="U36" s="129"/>
    </row>
    <row r="37" spans="1:24" x14ac:dyDescent="0.25">
      <c r="A37" s="114">
        <v>12</v>
      </c>
      <c r="B37" s="135" t="s">
        <v>73</v>
      </c>
      <c r="C37" s="136"/>
      <c r="D37" s="136" t="s">
        <v>37</v>
      </c>
      <c r="E37" s="134">
        <v>2</v>
      </c>
      <c r="F37" s="124">
        <v>1</v>
      </c>
      <c r="G37" s="124">
        <v>3.15</v>
      </c>
      <c r="H37" s="125">
        <v>17697</v>
      </c>
      <c r="I37" s="125">
        <f t="shared" si="4"/>
        <v>55745.549999999996</v>
      </c>
      <c r="J37" s="126">
        <v>0</v>
      </c>
      <c r="K37" s="124">
        <f t="shared" si="5"/>
        <v>0</v>
      </c>
      <c r="L37" s="126">
        <v>0.1</v>
      </c>
      <c r="M37" s="125">
        <f t="shared" si="6"/>
        <v>5574.56</v>
      </c>
      <c r="N37" s="126"/>
      <c r="O37" s="124">
        <f t="shared" si="8"/>
        <v>0</v>
      </c>
      <c r="P37" s="127">
        <f t="shared" si="7"/>
        <v>61320.11</v>
      </c>
      <c r="Q37" s="128">
        <f t="shared" si="9"/>
        <v>735841.32000000007</v>
      </c>
      <c r="R37" s="130"/>
      <c r="S37" s="129"/>
      <c r="T37" s="132"/>
      <c r="U37" s="129"/>
    </row>
    <row r="38" spans="1:24" ht="31.5" x14ac:dyDescent="0.25">
      <c r="A38" s="114">
        <v>13</v>
      </c>
      <c r="B38" s="135" t="s">
        <v>159</v>
      </c>
      <c r="C38" s="136" t="s">
        <v>48</v>
      </c>
      <c r="D38" s="136" t="s">
        <v>56</v>
      </c>
      <c r="E38" s="134">
        <v>4</v>
      </c>
      <c r="F38" s="124">
        <v>1.25</v>
      </c>
      <c r="G38" s="157" t="s">
        <v>212</v>
      </c>
      <c r="H38" s="125">
        <v>17697</v>
      </c>
      <c r="I38" s="125">
        <f t="shared" si="4"/>
        <v>59992.83</v>
      </c>
      <c r="J38" s="126">
        <v>0</v>
      </c>
      <c r="K38" s="124">
        <f t="shared" si="5"/>
        <v>0</v>
      </c>
      <c r="L38" s="126">
        <v>0.1</v>
      </c>
      <c r="M38" s="125">
        <f t="shared" si="6"/>
        <v>7499.1</v>
      </c>
      <c r="N38" s="126">
        <v>0.4</v>
      </c>
      <c r="O38" s="124">
        <f t="shared" si="8"/>
        <v>8848.5</v>
      </c>
      <c r="P38" s="127">
        <f t="shared" si="7"/>
        <v>91338.64</v>
      </c>
      <c r="Q38" s="128">
        <f t="shared" si="9"/>
        <v>1096063.68</v>
      </c>
      <c r="R38" s="130"/>
      <c r="S38" s="129"/>
      <c r="T38" s="132"/>
      <c r="U38" s="129"/>
    </row>
    <row r="39" spans="1:24" x14ac:dyDescent="0.25">
      <c r="A39" s="114">
        <v>14</v>
      </c>
      <c r="B39" s="135" t="s">
        <v>78</v>
      </c>
      <c r="C39" s="136" t="s">
        <v>48</v>
      </c>
      <c r="D39" s="136" t="s">
        <v>56</v>
      </c>
      <c r="E39" s="134">
        <v>4</v>
      </c>
      <c r="F39" s="124">
        <v>12.5</v>
      </c>
      <c r="G39" s="124">
        <v>3.17</v>
      </c>
      <c r="H39" s="125">
        <v>17697</v>
      </c>
      <c r="I39" s="125">
        <v>580461.6</v>
      </c>
      <c r="J39" s="126">
        <v>0</v>
      </c>
      <c r="K39" s="124">
        <f t="shared" si="5"/>
        <v>0</v>
      </c>
      <c r="L39" s="126">
        <v>0.1</v>
      </c>
      <c r="M39" s="125">
        <v>72557.710000000006</v>
      </c>
      <c r="N39" s="126">
        <v>0.4</v>
      </c>
      <c r="O39" s="124">
        <f t="shared" si="8"/>
        <v>88485</v>
      </c>
      <c r="P39" s="127">
        <v>886619.72</v>
      </c>
      <c r="Q39" s="128">
        <f t="shared" si="9"/>
        <v>10639436.640000001</v>
      </c>
      <c r="R39" s="130"/>
      <c r="S39" s="129"/>
      <c r="T39" s="132"/>
      <c r="U39" s="129"/>
    </row>
    <row r="40" spans="1:24" ht="31.5" x14ac:dyDescent="0.25">
      <c r="A40" s="114">
        <v>15</v>
      </c>
      <c r="B40" s="135" t="s">
        <v>92</v>
      </c>
      <c r="C40" s="131"/>
      <c r="D40" s="131"/>
      <c r="E40" s="134" t="s">
        <v>94</v>
      </c>
      <c r="F40" s="124">
        <v>0.25</v>
      </c>
      <c r="G40" s="124">
        <v>1.84</v>
      </c>
      <c r="H40" s="125">
        <v>17697</v>
      </c>
      <c r="I40" s="125">
        <f t="shared" si="4"/>
        <v>32562.480000000003</v>
      </c>
      <c r="J40" s="126">
        <v>0</v>
      </c>
      <c r="K40" s="124">
        <f t="shared" si="5"/>
        <v>0</v>
      </c>
      <c r="L40" s="126">
        <v>0.1</v>
      </c>
      <c r="M40" s="125">
        <f t="shared" si="6"/>
        <v>814.06</v>
      </c>
      <c r="N40" s="126"/>
      <c r="O40" s="124"/>
      <c r="P40" s="127">
        <f>ROUND((I40*F40)+M40+K40+O40,2)</f>
        <v>8954.68</v>
      </c>
      <c r="Q40" s="128">
        <f t="shared" si="9"/>
        <v>107456.16</v>
      </c>
      <c r="S40" s="129"/>
      <c r="T40" s="132"/>
      <c r="U40" s="129"/>
    </row>
    <row r="41" spans="1:24" x14ac:dyDescent="0.25">
      <c r="A41" s="114">
        <v>16</v>
      </c>
      <c r="B41" s="135" t="s">
        <v>95</v>
      </c>
      <c r="C41" s="131"/>
      <c r="D41" s="131"/>
      <c r="E41" s="134" t="s">
        <v>94</v>
      </c>
      <c r="F41" s="123">
        <v>6.25</v>
      </c>
      <c r="G41" s="124">
        <v>1.704</v>
      </c>
      <c r="H41" s="125">
        <v>17697</v>
      </c>
      <c r="I41" s="125">
        <v>153609.96</v>
      </c>
      <c r="J41" s="126">
        <v>0</v>
      </c>
      <c r="K41" s="124">
        <f t="shared" si="5"/>
        <v>0</v>
      </c>
      <c r="L41" s="126">
        <v>0.1</v>
      </c>
      <c r="M41" s="125">
        <v>19201.259999999998</v>
      </c>
      <c r="N41" s="126">
        <v>0.7</v>
      </c>
      <c r="O41" s="124">
        <f t="shared" si="8"/>
        <v>77424.38</v>
      </c>
      <c r="P41" s="127">
        <v>288638.11</v>
      </c>
      <c r="Q41" s="128">
        <f t="shared" si="9"/>
        <v>3463657.32</v>
      </c>
      <c r="R41" s="158"/>
      <c r="S41" s="129"/>
      <c r="T41" s="132"/>
      <c r="W41" s="158"/>
      <c r="X41" s="158"/>
    </row>
    <row r="42" spans="1:24" ht="32.25" thickBot="1" x14ac:dyDescent="0.3">
      <c r="A42" s="114">
        <v>17</v>
      </c>
      <c r="B42" s="135" t="s">
        <v>99</v>
      </c>
      <c r="C42" s="136" t="s">
        <v>48</v>
      </c>
      <c r="D42" s="136" t="s">
        <v>56</v>
      </c>
      <c r="E42" s="134">
        <v>1</v>
      </c>
      <c r="F42" s="123">
        <v>1.25</v>
      </c>
      <c r="G42" s="124">
        <v>4.26</v>
      </c>
      <c r="H42" s="125">
        <v>17697</v>
      </c>
      <c r="I42" s="125">
        <f>G42*H42</f>
        <v>75389.22</v>
      </c>
      <c r="J42" s="126">
        <v>0</v>
      </c>
      <c r="K42" s="124">
        <f t="shared" si="5"/>
        <v>0</v>
      </c>
      <c r="L42" s="126">
        <v>0.1</v>
      </c>
      <c r="M42" s="125">
        <f t="shared" si="6"/>
        <v>9423.65</v>
      </c>
      <c r="N42" s="126">
        <v>0.4</v>
      </c>
      <c r="O42" s="124">
        <f t="shared" si="8"/>
        <v>8848.5</v>
      </c>
      <c r="P42" s="127">
        <f>ROUND((I42*F42)+M42+K42+O42,2)</f>
        <v>112508.68</v>
      </c>
      <c r="Q42" s="128">
        <f t="shared" si="9"/>
        <v>1350104.16</v>
      </c>
      <c r="S42" s="129"/>
      <c r="T42" s="132"/>
      <c r="U42" s="129"/>
    </row>
    <row r="43" spans="1:24" s="251" customFormat="1" ht="16.5" thickBot="1" x14ac:dyDescent="0.3">
      <c r="A43" s="518" t="s">
        <v>160</v>
      </c>
      <c r="B43" s="519"/>
      <c r="C43" s="248"/>
      <c r="D43" s="248"/>
      <c r="E43" s="140"/>
      <c r="F43" s="159">
        <f>SUM(F25:F42)</f>
        <v>34.25</v>
      </c>
      <c r="G43" s="159"/>
      <c r="H43" s="159"/>
      <c r="I43" s="141">
        <f>SUM(I25:I42)+54506.76+55568.58+55568.68</f>
        <v>1808810.47</v>
      </c>
      <c r="J43" s="141"/>
      <c r="K43" s="141">
        <f>SUM(K25:K42)</f>
        <v>0</v>
      </c>
      <c r="L43" s="141"/>
      <c r="M43" s="141">
        <f>SUM(M25:M42)-M42</f>
        <v>171054.81000000003</v>
      </c>
      <c r="N43" s="142"/>
      <c r="O43" s="141">
        <f>SUM(O25:O42)</f>
        <v>263242.88</v>
      </c>
      <c r="P43" s="141">
        <f>SUM(P25:P42)</f>
        <v>2248505.6700000004</v>
      </c>
      <c r="Q43" s="143">
        <f>P43*12</f>
        <v>26982068.040000007</v>
      </c>
      <c r="S43" s="145">
        <f>'[1]РАСЧЁТЫ по действующей системе'!W92</f>
        <v>1704283.07</v>
      </c>
      <c r="T43" s="146">
        <f>P43-S43</f>
        <v>544222.60000000033</v>
      </c>
      <c r="U43" s="146" t="b">
        <f>IF(P43&lt;&gt;S43,FALSE,0)</f>
        <v>0</v>
      </c>
      <c r="V43" s="161"/>
    </row>
    <row r="44" spans="1:24" ht="47.25" x14ac:dyDescent="0.25">
      <c r="A44" s="114"/>
      <c r="B44" s="162" t="s">
        <v>161</v>
      </c>
      <c r="C44" s="163"/>
      <c r="D44" s="163"/>
      <c r="E44" s="149"/>
      <c r="F44" s="164"/>
      <c r="G44" s="164"/>
      <c r="H44" s="164"/>
      <c r="I44" s="150"/>
      <c r="J44" s="150"/>
      <c r="K44" s="150"/>
      <c r="L44" s="150"/>
      <c r="M44" s="150"/>
      <c r="N44" s="150"/>
      <c r="O44" s="150"/>
      <c r="P44" s="151"/>
      <c r="Q44" s="152"/>
      <c r="S44" s="132"/>
      <c r="T44" s="132"/>
      <c r="U44" s="132"/>
    </row>
    <row r="45" spans="1:24" x14ac:dyDescent="0.25">
      <c r="A45" s="114">
        <v>18</v>
      </c>
      <c r="B45" s="165" t="s">
        <v>106</v>
      </c>
      <c r="C45" s="166"/>
      <c r="D45" s="166"/>
      <c r="E45" s="167"/>
      <c r="F45" s="123">
        <v>2</v>
      </c>
      <c r="G45" s="124">
        <v>2.1</v>
      </c>
      <c r="H45" s="125">
        <v>17697</v>
      </c>
      <c r="I45" s="125">
        <f t="shared" ref="I45:I54" si="10">G45*H45</f>
        <v>37163.700000000004</v>
      </c>
      <c r="J45" s="126">
        <v>0</v>
      </c>
      <c r="K45" s="124">
        <f t="shared" ref="K45:K54" si="11">ROUND(I45*J45,2)</f>
        <v>0</v>
      </c>
      <c r="L45" s="126">
        <v>0.1</v>
      </c>
      <c r="M45" s="125">
        <f t="shared" ref="M45:M54" si="12">ROUND(I45*L45*F45,2)</f>
        <v>7432.74</v>
      </c>
      <c r="N45" s="126">
        <v>0.6</v>
      </c>
      <c r="O45" s="124">
        <f t="shared" ref="O45:O54" si="13">ROUND(H45*N45,2)</f>
        <v>10618.2</v>
      </c>
      <c r="P45" s="127">
        <f>ROUND((I45*F45)+M45+K45+O45,2)</f>
        <v>92378.34</v>
      </c>
      <c r="Q45" s="128">
        <f>P45*12</f>
        <v>1108540.08</v>
      </c>
      <c r="S45" s="129"/>
      <c r="T45" s="132"/>
      <c r="U45" s="129"/>
    </row>
    <row r="46" spans="1:24" x14ac:dyDescent="0.25">
      <c r="A46" s="114">
        <v>19</v>
      </c>
      <c r="B46" s="165" t="s">
        <v>109</v>
      </c>
      <c r="C46" s="166"/>
      <c r="D46" s="166"/>
      <c r="E46" s="167"/>
      <c r="F46" s="123">
        <v>0.5</v>
      </c>
      <c r="G46" s="124">
        <v>1.71</v>
      </c>
      <c r="H46" s="125">
        <v>17697</v>
      </c>
      <c r="I46" s="125">
        <f t="shared" si="10"/>
        <v>30261.87</v>
      </c>
      <c r="J46" s="126">
        <v>0</v>
      </c>
      <c r="K46" s="124">
        <f t="shared" si="11"/>
        <v>0</v>
      </c>
      <c r="L46" s="126">
        <v>0.1</v>
      </c>
      <c r="M46" s="125">
        <f t="shared" si="12"/>
        <v>1513.09</v>
      </c>
      <c r="N46" s="168"/>
      <c r="O46" s="124">
        <f t="shared" si="13"/>
        <v>0</v>
      </c>
      <c r="P46" s="127">
        <f t="shared" ref="P46:P54" si="14">ROUND((I46*F46)+M46+K46+O46,2)</f>
        <v>16644.03</v>
      </c>
      <c r="Q46" s="128">
        <f t="shared" ref="Q46:Q54" si="15">P46*12</f>
        <v>199728.36</v>
      </c>
      <c r="R46" s="130"/>
      <c r="S46" s="129"/>
      <c r="T46" s="132"/>
      <c r="U46" s="129"/>
    </row>
    <row r="47" spans="1:24" x14ac:dyDescent="0.25">
      <c r="A47" s="114">
        <v>20</v>
      </c>
      <c r="B47" s="165" t="s">
        <v>111</v>
      </c>
      <c r="C47" s="166"/>
      <c r="D47" s="166"/>
      <c r="E47" s="167"/>
      <c r="F47" s="123">
        <v>0.5</v>
      </c>
      <c r="G47" s="123">
        <v>1.83</v>
      </c>
      <c r="H47" s="125">
        <v>17697</v>
      </c>
      <c r="I47" s="125">
        <f t="shared" si="10"/>
        <v>32385.510000000002</v>
      </c>
      <c r="J47" s="126">
        <v>0</v>
      </c>
      <c r="K47" s="124">
        <f t="shared" si="11"/>
        <v>0</v>
      </c>
      <c r="L47" s="126">
        <v>0.1</v>
      </c>
      <c r="M47" s="125">
        <f t="shared" si="12"/>
        <v>1619.28</v>
      </c>
      <c r="N47" s="126"/>
      <c r="O47" s="124">
        <f t="shared" si="13"/>
        <v>0</v>
      </c>
      <c r="P47" s="127">
        <f t="shared" si="14"/>
        <v>17812.04</v>
      </c>
      <c r="Q47" s="128">
        <f t="shared" si="15"/>
        <v>213744.48</v>
      </c>
      <c r="S47" s="132"/>
      <c r="T47" s="132"/>
      <c r="U47" s="129"/>
    </row>
    <row r="48" spans="1:24" ht="31.5" x14ac:dyDescent="0.25">
      <c r="A48" s="114">
        <v>21</v>
      </c>
      <c r="B48" s="169" t="s">
        <v>112</v>
      </c>
      <c r="C48" s="166"/>
      <c r="D48" s="166"/>
      <c r="E48" s="170"/>
      <c r="F48" s="123">
        <v>1</v>
      </c>
      <c r="G48" s="123">
        <v>1.71</v>
      </c>
      <c r="H48" s="125">
        <v>17697</v>
      </c>
      <c r="I48" s="125">
        <f t="shared" si="10"/>
        <v>30261.87</v>
      </c>
      <c r="J48" s="126">
        <v>0</v>
      </c>
      <c r="K48" s="124">
        <f t="shared" si="11"/>
        <v>0</v>
      </c>
      <c r="L48" s="126">
        <v>0.1</v>
      </c>
      <c r="M48" s="125">
        <f t="shared" si="12"/>
        <v>3026.19</v>
      </c>
      <c r="N48" s="126">
        <v>0.3</v>
      </c>
      <c r="O48" s="124">
        <f t="shared" si="13"/>
        <v>5309.1</v>
      </c>
      <c r="P48" s="127">
        <f t="shared" si="14"/>
        <v>38597.160000000003</v>
      </c>
      <c r="Q48" s="128">
        <f t="shared" si="15"/>
        <v>463165.92000000004</v>
      </c>
      <c r="S48" s="132"/>
      <c r="T48" s="132"/>
      <c r="U48" s="129"/>
    </row>
    <row r="49" spans="1:21" ht="31.5" x14ac:dyDescent="0.25">
      <c r="A49" s="114">
        <v>22</v>
      </c>
      <c r="B49" s="169" t="s">
        <v>113</v>
      </c>
      <c r="C49" s="166"/>
      <c r="D49" s="166"/>
      <c r="E49" s="170"/>
      <c r="F49" s="123">
        <v>1</v>
      </c>
      <c r="G49" s="123">
        <v>1.71</v>
      </c>
      <c r="H49" s="125">
        <v>17697</v>
      </c>
      <c r="I49" s="125">
        <f t="shared" si="10"/>
        <v>30261.87</v>
      </c>
      <c r="J49" s="126">
        <v>0</v>
      </c>
      <c r="K49" s="124">
        <f t="shared" si="11"/>
        <v>0</v>
      </c>
      <c r="L49" s="126">
        <v>0.1</v>
      </c>
      <c r="M49" s="125">
        <f t="shared" si="12"/>
        <v>3026.19</v>
      </c>
      <c r="N49" s="126">
        <v>0.3</v>
      </c>
      <c r="O49" s="124">
        <f t="shared" si="13"/>
        <v>5309.1</v>
      </c>
      <c r="P49" s="127">
        <f t="shared" si="14"/>
        <v>38597.160000000003</v>
      </c>
      <c r="Q49" s="128">
        <f t="shared" si="15"/>
        <v>463165.92000000004</v>
      </c>
      <c r="S49" s="132"/>
      <c r="T49" s="132"/>
      <c r="U49" s="129"/>
    </row>
    <row r="50" spans="1:21" ht="31.5" x14ac:dyDescent="0.25">
      <c r="A50" s="114">
        <v>23</v>
      </c>
      <c r="B50" s="169" t="s">
        <v>114</v>
      </c>
      <c r="C50" s="166"/>
      <c r="D50" s="166"/>
      <c r="E50" s="167"/>
      <c r="F50" s="123">
        <v>1</v>
      </c>
      <c r="G50" s="123">
        <v>1.71</v>
      </c>
      <c r="H50" s="125">
        <v>17697</v>
      </c>
      <c r="I50" s="125">
        <f t="shared" si="10"/>
        <v>30261.87</v>
      </c>
      <c r="J50" s="126">
        <v>0</v>
      </c>
      <c r="K50" s="124">
        <f t="shared" si="11"/>
        <v>0</v>
      </c>
      <c r="L50" s="126">
        <v>0.1</v>
      </c>
      <c r="M50" s="125">
        <f t="shared" si="12"/>
        <v>3026.19</v>
      </c>
      <c r="N50" s="126"/>
      <c r="O50" s="124">
        <f t="shared" si="13"/>
        <v>0</v>
      </c>
      <c r="P50" s="127">
        <f t="shared" si="14"/>
        <v>33288.06</v>
      </c>
      <c r="Q50" s="128">
        <f t="shared" si="15"/>
        <v>399456.72</v>
      </c>
      <c r="S50" s="129"/>
      <c r="T50" s="132"/>
      <c r="U50" s="129"/>
    </row>
    <row r="51" spans="1:21" x14ac:dyDescent="0.25">
      <c r="A51" s="114">
        <v>24</v>
      </c>
      <c r="B51" s="169" t="s">
        <v>115</v>
      </c>
      <c r="C51" s="131"/>
      <c r="D51" s="131"/>
      <c r="E51" s="123"/>
      <c r="F51" s="123">
        <v>1</v>
      </c>
      <c r="G51" s="123">
        <v>1.96</v>
      </c>
      <c r="H51" s="125">
        <v>17697</v>
      </c>
      <c r="I51" s="125">
        <f t="shared" si="10"/>
        <v>34686.120000000003</v>
      </c>
      <c r="J51" s="126">
        <v>0</v>
      </c>
      <c r="K51" s="124">
        <f t="shared" si="11"/>
        <v>0</v>
      </c>
      <c r="L51" s="126">
        <v>0.1</v>
      </c>
      <c r="M51" s="125">
        <f t="shared" si="12"/>
        <v>3468.61</v>
      </c>
      <c r="N51" s="126"/>
      <c r="O51" s="124">
        <f t="shared" si="13"/>
        <v>0</v>
      </c>
      <c r="P51" s="127">
        <f t="shared" si="14"/>
        <v>38154.730000000003</v>
      </c>
      <c r="Q51" s="128">
        <f t="shared" si="15"/>
        <v>457856.76</v>
      </c>
      <c r="S51" s="132"/>
      <c r="T51" s="132"/>
      <c r="U51" s="129"/>
    </row>
    <row r="52" spans="1:21" x14ac:dyDescent="0.25">
      <c r="A52" s="114">
        <v>25</v>
      </c>
      <c r="B52" s="169" t="s">
        <v>117</v>
      </c>
      <c r="C52" s="131"/>
      <c r="D52" s="131"/>
      <c r="E52" s="123"/>
      <c r="F52" s="123">
        <v>0.5</v>
      </c>
      <c r="G52" s="123">
        <v>1.96</v>
      </c>
      <c r="H52" s="125">
        <v>17697</v>
      </c>
      <c r="I52" s="125">
        <f t="shared" si="10"/>
        <v>34686.120000000003</v>
      </c>
      <c r="J52" s="126">
        <v>0</v>
      </c>
      <c r="K52" s="124">
        <f t="shared" si="11"/>
        <v>0</v>
      </c>
      <c r="L52" s="126">
        <v>0.1</v>
      </c>
      <c r="M52" s="125">
        <f t="shared" si="12"/>
        <v>1734.31</v>
      </c>
      <c r="N52" s="126"/>
      <c r="O52" s="124">
        <f t="shared" si="13"/>
        <v>0</v>
      </c>
      <c r="P52" s="127">
        <f t="shared" si="14"/>
        <v>19077.37</v>
      </c>
      <c r="Q52" s="128">
        <f t="shared" si="15"/>
        <v>228928.44</v>
      </c>
      <c r="S52" s="132"/>
      <c r="T52" s="132"/>
      <c r="U52" s="129"/>
    </row>
    <row r="53" spans="1:21" x14ac:dyDescent="0.25">
      <c r="A53" s="114">
        <v>26</v>
      </c>
      <c r="B53" s="171" t="s">
        <v>119</v>
      </c>
      <c r="C53" s="166"/>
      <c r="D53" s="166"/>
      <c r="E53" s="170"/>
      <c r="F53" s="123">
        <v>3</v>
      </c>
      <c r="G53" s="123">
        <v>1.6</v>
      </c>
      <c r="H53" s="125">
        <v>17697</v>
      </c>
      <c r="I53" s="125">
        <f t="shared" si="10"/>
        <v>28315.200000000001</v>
      </c>
      <c r="J53" s="126">
        <v>0</v>
      </c>
      <c r="K53" s="124">
        <f t="shared" si="11"/>
        <v>0</v>
      </c>
      <c r="L53" s="126">
        <v>0.1</v>
      </c>
      <c r="M53" s="125">
        <f t="shared" si="12"/>
        <v>8494.56</v>
      </c>
      <c r="N53" s="126"/>
      <c r="O53" s="124">
        <v>25898.04</v>
      </c>
      <c r="P53" s="127">
        <f t="shared" si="14"/>
        <v>119338.2</v>
      </c>
      <c r="Q53" s="128">
        <f t="shared" si="15"/>
        <v>1432058.4</v>
      </c>
      <c r="S53" s="132"/>
      <c r="T53" s="132"/>
      <c r="U53" s="129"/>
    </row>
    <row r="54" spans="1:21" ht="16.5" thickBot="1" x14ac:dyDescent="0.3">
      <c r="A54" s="114">
        <v>27</v>
      </c>
      <c r="B54" s="172" t="s">
        <v>120</v>
      </c>
      <c r="C54" s="166"/>
      <c r="D54" s="166"/>
      <c r="E54" s="167"/>
      <c r="F54" s="123">
        <v>1</v>
      </c>
      <c r="G54" s="124">
        <v>1.71</v>
      </c>
      <c r="H54" s="125">
        <v>17697</v>
      </c>
      <c r="I54" s="125">
        <f t="shared" si="10"/>
        <v>30261.87</v>
      </c>
      <c r="J54" s="126">
        <v>0</v>
      </c>
      <c r="K54" s="124">
        <f t="shared" si="11"/>
        <v>0</v>
      </c>
      <c r="L54" s="126">
        <v>0.1</v>
      </c>
      <c r="M54" s="125">
        <f t="shared" si="12"/>
        <v>3026.19</v>
      </c>
      <c r="N54" s="126"/>
      <c r="O54" s="124">
        <f t="shared" si="13"/>
        <v>0</v>
      </c>
      <c r="P54" s="127">
        <f t="shared" si="14"/>
        <v>33288.06</v>
      </c>
      <c r="Q54" s="128">
        <f t="shared" si="15"/>
        <v>399456.72</v>
      </c>
      <c r="R54" s="130"/>
      <c r="S54" s="129"/>
      <c r="T54" s="132"/>
      <c r="U54" s="129"/>
    </row>
    <row r="55" spans="1:21" s="251" customFormat="1" ht="16.5" thickBot="1" x14ac:dyDescent="0.3">
      <c r="A55" s="520" t="s">
        <v>121</v>
      </c>
      <c r="B55" s="521"/>
      <c r="C55" s="173"/>
      <c r="D55" s="173"/>
      <c r="E55" s="174"/>
      <c r="F55" s="175">
        <f>SUM(F44:F54)</f>
        <v>11.5</v>
      </c>
      <c r="G55" s="176"/>
      <c r="H55" s="175"/>
      <c r="I55" s="175"/>
      <c r="J55" s="175"/>
      <c r="K55" s="175">
        <f>SUM(K44:K54)</f>
        <v>0</v>
      </c>
      <c r="L55" s="175"/>
      <c r="M55" s="175">
        <f>SUM(M44:M54)</f>
        <v>36367.350000000006</v>
      </c>
      <c r="N55" s="177"/>
      <c r="O55" s="175">
        <f>SUM(O44:O54)</f>
        <v>47134.44</v>
      </c>
      <c r="P55" s="175">
        <f>SUM(P45:P54)-0.77</f>
        <v>447174.38</v>
      </c>
      <c r="Q55" s="178">
        <f>SUM(Q44:Q54)-9.24</f>
        <v>5366092.5599999987</v>
      </c>
      <c r="S55" s="179">
        <f>'[1]РАСЧЁТЫ по действующей системе'!W121</f>
        <v>381923.53</v>
      </c>
      <c r="T55" s="180">
        <f>P55-S55</f>
        <v>65250.849999999977</v>
      </c>
      <c r="U55" s="146" t="b">
        <f>IF(P55&lt;&gt;S55,FALSE,0)</f>
        <v>0</v>
      </c>
    </row>
    <row r="56" spans="1:21" s="251" customFormat="1" ht="16.5" thickBot="1" x14ac:dyDescent="0.3">
      <c r="A56" s="522" t="s">
        <v>162</v>
      </c>
      <c r="B56" s="523"/>
      <c r="C56" s="249"/>
      <c r="D56" s="249"/>
      <c r="E56" s="182"/>
      <c r="F56" s="183">
        <f>F23+F43+F55</f>
        <v>48.25</v>
      </c>
      <c r="G56" s="182"/>
      <c r="H56" s="182"/>
      <c r="I56" s="183"/>
      <c r="J56" s="183">
        <f>J23+J43+J55</f>
        <v>0</v>
      </c>
      <c r="K56" s="183">
        <f>K23+K43+K55</f>
        <v>0</v>
      </c>
      <c r="L56" s="183"/>
      <c r="M56" s="183">
        <f>M23+M43+M55</f>
        <v>223322.92000000004</v>
      </c>
      <c r="N56" s="184"/>
      <c r="O56" s="183">
        <f>O23+O43+O55</f>
        <v>315686.42</v>
      </c>
      <c r="P56" s="182">
        <f>P23+P43+P55</f>
        <v>2875897.4600000004</v>
      </c>
      <c r="Q56" s="182">
        <f>Q23+Q43+Q55</f>
        <v>34510769.520000011</v>
      </c>
      <c r="R56" s="156"/>
    </row>
    <row r="57" spans="1:21" x14ac:dyDescent="0.25">
      <c r="S57" s="515" t="s">
        <v>132</v>
      </c>
      <c r="T57" s="187" t="s">
        <v>163</v>
      </c>
      <c r="U57" s="187" t="s">
        <v>164</v>
      </c>
    </row>
    <row r="58" spans="1:21" x14ac:dyDescent="0.25">
      <c r="B58" s="102" t="s">
        <v>40</v>
      </c>
      <c r="C58" s="102"/>
      <c r="D58" s="102"/>
      <c r="E58" s="250"/>
      <c r="F58" s="250"/>
      <c r="G58" s="250"/>
      <c r="H58" s="144"/>
      <c r="I58" s="524" t="s">
        <v>169</v>
      </c>
      <c r="J58" s="524"/>
      <c r="K58" s="524"/>
      <c r="L58" s="524"/>
      <c r="M58" s="524"/>
      <c r="N58" s="524"/>
      <c r="O58" s="524"/>
      <c r="P58" s="189"/>
      <c r="S58" s="515"/>
      <c r="T58" s="190">
        <f>'[1]РАСЧЁТЫ по действующей системе'!AE128</f>
        <v>48.25</v>
      </c>
      <c r="U58" s="190">
        <f>'[1]РАСЧЁТЫ по действующей системе'!AF128</f>
        <v>2216102.59</v>
      </c>
    </row>
    <row r="59" spans="1:21" x14ac:dyDescent="0.25">
      <c r="F59" s="251" t="s">
        <v>128</v>
      </c>
      <c r="I59" s="525" t="s">
        <v>129</v>
      </c>
      <c r="J59" s="525"/>
      <c r="K59" s="525"/>
      <c r="L59" s="525"/>
      <c r="M59" s="525"/>
      <c r="N59" s="525"/>
      <c r="O59" s="525"/>
      <c r="P59" s="189"/>
      <c r="S59" s="191"/>
      <c r="T59" s="192"/>
      <c r="U59" s="192"/>
    </row>
    <row r="60" spans="1:21" x14ac:dyDescent="0.25">
      <c r="N60" s="193"/>
      <c r="P60" s="189"/>
      <c r="Q60" s="130"/>
      <c r="S60" s="132"/>
      <c r="T60" s="132"/>
      <c r="U60" s="132"/>
    </row>
    <row r="61" spans="1:21" x14ac:dyDescent="0.25">
      <c r="A61" s="132"/>
      <c r="P61" s="189"/>
      <c r="S61" s="515" t="s">
        <v>132</v>
      </c>
      <c r="T61" s="187" t="s">
        <v>166</v>
      </c>
      <c r="U61" s="187" t="s">
        <v>167</v>
      </c>
    </row>
    <row r="62" spans="1:21" x14ac:dyDescent="0.25">
      <c r="A62" s="132"/>
      <c r="N62" s="193"/>
      <c r="S62" s="515"/>
      <c r="T62" s="190">
        <f>F56</f>
        <v>48.25</v>
      </c>
      <c r="U62" s="190">
        <f>P56</f>
        <v>2875897.4600000004</v>
      </c>
    </row>
    <row r="63" spans="1:21" s="195" customFormat="1" x14ac:dyDescent="0.25">
      <c r="A63" s="194"/>
      <c r="B63" s="516"/>
      <c r="C63" s="516"/>
      <c r="D63" s="516"/>
      <c r="E63" s="517"/>
      <c r="F63" s="517"/>
      <c r="G63" s="517"/>
      <c r="H63" s="517"/>
      <c r="I63" s="517"/>
      <c r="J63" s="517"/>
      <c r="K63" s="517"/>
      <c r="L63" s="517"/>
      <c r="M63" s="517"/>
      <c r="N63" s="517"/>
      <c r="O63" s="517"/>
      <c r="P63" s="517"/>
      <c r="Q63" s="517"/>
    </row>
    <row r="64" spans="1:21" x14ac:dyDescent="0.25">
      <c r="A64" s="132"/>
      <c r="S64" s="515" t="s">
        <v>134</v>
      </c>
      <c r="T64" s="187" t="s">
        <v>168</v>
      </c>
      <c r="U64" s="187" t="s">
        <v>168</v>
      </c>
    </row>
    <row r="65" spans="1:21" s="195" customFormat="1" x14ac:dyDescent="0.25">
      <c r="A65" s="194"/>
      <c r="B65" s="516"/>
      <c r="C65" s="516"/>
      <c r="D65" s="516"/>
      <c r="E65" s="517"/>
      <c r="F65" s="517"/>
      <c r="G65" s="517"/>
      <c r="H65" s="517"/>
      <c r="I65" s="517"/>
      <c r="J65" s="517"/>
      <c r="K65" s="517"/>
      <c r="L65" s="517"/>
      <c r="M65" s="517"/>
      <c r="N65" s="196"/>
      <c r="O65" s="196"/>
      <c r="P65" s="197"/>
      <c r="S65" s="515"/>
      <c r="T65" s="190">
        <f>T58-T62</f>
        <v>0</v>
      </c>
      <c r="U65" s="190">
        <f>U58-U62</f>
        <v>-659794.87000000058</v>
      </c>
    </row>
    <row r="66" spans="1:21" x14ac:dyDescent="0.25">
      <c r="A66" s="132"/>
    </row>
    <row r="67" spans="1:21" x14ac:dyDescent="0.25">
      <c r="M67" s="198"/>
    </row>
  </sheetData>
  <mergeCells count="44">
    <mergeCell ref="G5:Q5"/>
    <mergeCell ref="G1:Q1"/>
    <mergeCell ref="B2:E2"/>
    <mergeCell ref="G2:Q2"/>
    <mergeCell ref="G3:N3"/>
    <mergeCell ref="I4:Q4"/>
    <mergeCell ref="F6:Q6"/>
    <mergeCell ref="G7:Q7"/>
    <mergeCell ref="B9:Q9"/>
    <mergeCell ref="A10:Q10"/>
    <mergeCell ref="A11:Q11"/>
    <mergeCell ref="W12:AC12"/>
    <mergeCell ref="U13:V13"/>
    <mergeCell ref="W13:AC13"/>
    <mergeCell ref="A12:Q12"/>
    <mergeCell ref="Q14:Q15"/>
    <mergeCell ref="W14:AC14"/>
    <mergeCell ref="U15:AC15"/>
    <mergeCell ref="H14:H15"/>
    <mergeCell ref="I14:I15"/>
    <mergeCell ref="J14:K14"/>
    <mergeCell ref="L14:M14"/>
    <mergeCell ref="A14:A15"/>
    <mergeCell ref="B14:B15"/>
    <mergeCell ref="C14:C15"/>
    <mergeCell ref="D14:D15"/>
    <mergeCell ref="E14:E15"/>
    <mergeCell ref="F14:F15"/>
    <mergeCell ref="G14:G15"/>
    <mergeCell ref="T16:AC16"/>
    <mergeCell ref="N14:O14"/>
    <mergeCell ref="P14:P15"/>
    <mergeCell ref="U17:AC17"/>
    <mergeCell ref="S61:S62"/>
    <mergeCell ref="B63:Q63"/>
    <mergeCell ref="S64:S65"/>
    <mergeCell ref="B65:M65"/>
    <mergeCell ref="A43:B43"/>
    <mergeCell ref="A55:B55"/>
    <mergeCell ref="A56:B56"/>
    <mergeCell ref="S57:S58"/>
    <mergeCell ref="I58:O58"/>
    <mergeCell ref="I59:O59"/>
    <mergeCell ref="A23:B2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1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9"/>
  <sheetViews>
    <sheetView topLeftCell="A8" workbookViewId="0">
      <selection activeCell="P25" sqref="P25"/>
    </sheetView>
  </sheetViews>
  <sheetFormatPr defaultRowHeight="15.75" x14ac:dyDescent="0.25"/>
  <cols>
    <col min="1" max="1" width="5" style="101" customWidth="1"/>
    <col min="2" max="2" width="23.85546875" style="105" customWidth="1"/>
    <col min="3" max="4" width="5.7109375" style="105" customWidth="1"/>
    <col min="5" max="5" width="7.5703125" style="101" customWidth="1"/>
    <col min="6" max="6" width="9.7109375" style="185" customWidth="1"/>
    <col min="7" max="7" width="6" style="185" customWidth="1"/>
    <col min="8" max="8" width="12.28515625" style="185" customWidth="1"/>
    <col min="9" max="9" width="17.28515625" style="185" customWidth="1"/>
    <col min="10" max="10" width="6.28515625" style="185" hidden="1" customWidth="1"/>
    <col min="11" max="11" width="11.42578125" style="185" hidden="1" customWidth="1"/>
    <col min="12" max="12" width="6.85546875" style="185" customWidth="1"/>
    <col min="13" max="13" width="17" style="185" customWidth="1"/>
    <col min="14" max="14" width="5.7109375" style="185" customWidth="1"/>
    <col min="15" max="15" width="15" style="185" customWidth="1"/>
    <col min="16" max="16" width="18.140625" style="186" customWidth="1"/>
    <col min="17" max="17" width="18" style="101" customWidth="1"/>
    <col min="18" max="18" width="13.42578125" style="101" customWidth="1"/>
    <col min="19" max="19" width="15" style="101" hidden="1" customWidth="1"/>
    <col min="20" max="20" width="25.28515625" style="101" hidden="1" customWidth="1"/>
    <col min="21" max="21" width="25.7109375" style="101" hidden="1" customWidth="1"/>
    <col min="22" max="16384" width="9.140625" style="101"/>
  </cols>
  <sheetData>
    <row r="1" spans="1:29" ht="14.25" customHeight="1" x14ac:dyDescent="0.25">
      <c r="B1" s="102"/>
      <c r="C1" s="102"/>
      <c r="D1" s="102"/>
      <c r="E1" s="103"/>
      <c r="F1" s="104"/>
      <c r="G1" s="497" t="s">
        <v>135</v>
      </c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29" ht="25.5" customHeight="1" x14ac:dyDescent="0.25">
      <c r="B2" s="498"/>
      <c r="C2" s="498"/>
      <c r="D2" s="498"/>
      <c r="E2" s="498"/>
      <c r="F2" s="104"/>
      <c r="G2" s="499" t="s">
        <v>136</v>
      </c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29" ht="12" customHeight="1" x14ac:dyDescent="0.25">
      <c r="E3" s="103"/>
      <c r="F3" s="104"/>
      <c r="G3" s="499" t="s">
        <v>137</v>
      </c>
      <c r="H3" s="499"/>
      <c r="I3" s="499"/>
      <c r="J3" s="499"/>
      <c r="K3" s="499"/>
      <c r="L3" s="499"/>
      <c r="M3" s="499"/>
      <c r="N3" s="499"/>
      <c r="O3" s="106"/>
      <c r="P3" s="107"/>
      <c r="Q3" s="106"/>
    </row>
    <row r="4" spans="1:29" ht="13.5" customHeight="1" x14ac:dyDescent="0.25">
      <c r="E4" s="103"/>
      <c r="F4" s="104"/>
      <c r="G4" s="104"/>
      <c r="H4" s="104"/>
      <c r="I4" s="542" t="s">
        <v>264</v>
      </c>
      <c r="J4" s="542"/>
      <c r="K4" s="542"/>
      <c r="L4" s="542"/>
      <c r="M4" s="542"/>
      <c r="N4" s="543"/>
      <c r="O4" s="543"/>
      <c r="P4" s="543"/>
      <c r="Q4" s="543"/>
    </row>
    <row r="5" spans="1:29" ht="13.5" customHeight="1" x14ac:dyDescent="0.25">
      <c r="E5" s="103"/>
      <c r="F5" s="104"/>
      <c r="H5" s="331"/>
      <c r="I5" s="542" t="s">
        <v>266</v>
      </c>
      <c r="J5" s="542"/>
      <c r="K5" s="542"/>
      <c r="L5" s="542"/>
      <c r="M5" s="542"/>
      <c r="N5" s="542"/>
      <c r="O5" s="542"/>
      <c r="P5" s="542"/>
      <c r="Q5" s="542"/>
    </row>
    <row r="6" spans="1:29" ht="22.5" customHeight="1" x14ac:dyDescent="0.25">
      <c r="E6" s="103"/>
      <c r="F6" s="501" t="s">
        <v>267</v>
      </c>
      <c r="G6" s="501"/>
      <c r="H6" s="501"/>
      <c r="I6" s="501"/>
      <c r="J6" s="501"/>
      <c r="K6" s="501"/>
      <c r="L6" s="501"/>
      <c r="M6" s="501"/>
      <c r="N6" s="500"/>
      <c r="O6" s="500"/>
      <c r="P6" s="500"/>
      <c r="Q6" s="500"/>
    </row>
    <row r="7" spans="1:29" ht="11.25" customHeight="1" x14ac:dyDescent="0.25">
      <c r="B7" s="234"/>
      <c r="C7" s="234"/>
      <c r="D7" s="234"/>
      <c r="E7" s="234"/>
      <c r="F7" s="234"/>
      <c r="G7" s="502" t="s">
        <v>139</v>
      </c>
      <c r="H7" s="502"/>
      <c r="I7" s="502"/>
      <c r="J7" s="502"/>
      <c r="K7" s="502"/>
      <c r="L7" s="502"/>
      <c r="M7" s="502"/>
      <c r="N7" s="500"/>
      <c r="O7" s="500"/>
      <c r="P7" s="500"/>
      <c r="Q7" s="500"/>
    </row>
    <row r="8" spans="1:29" ht="14.25" customHeight="1" x14ac:dyDescent="0.25">
      <c r="B8" s="234"/>
      <c r="C8" s="234"/>
      <c r="D8" s="234"/>
      <c r="E8" s="234"/>
      <c r="F8" s="234"/>
      <c r="G8" s="236"/>
      <c r="H8" s="236"/>
      <c r="I8" s="236"/>
      <c r="J8" s="236"/>
      <c r="K8" s="236"/>
      <c r="L8" s="236"/>
      <c r="M8" s="236"/>
      <c r="N8" s="101"/>
      <c r="O8" s="101"/>
      <c r="P8" s="109"/>
    </row>
    <row r="9" spans="1:29" ht="12.75" hidden="1" customHeight="1" x14ac:dyDescent="0.25"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</row>
    <row r="10" spans="1:29" ht="15" customHeight="1" x14ac:dyDescent="0.25">
      <c r="A10" s="497" t="s">
        <v>255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T10" s="110"/>
    </row>
    <row r="11" spans="1:29" ht="12.75" customHeight="1" x14ac:dyDescent="0.25">
      <c r="A11" s="503" t="s">
        <v>141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</row>
    <row r="12" spans="1:29" x14ac:dyDescent="0.25">
      <c r="A12" s="499" t="s">
        <v>142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T12" s="104"/>
      <c r="U12" s="104"/>
      <c r="V12" s="104"/>
      <c r="W12" s="497"/>
      <c r="X12" s="497"/>
      <c r="Y12" s="497"/>
      <c r="Z12" s="497"/>
      <c r="AA12" s="497"/>
      <c r="AB12" s="497"/>
      <c r="AC12" s="497"/>
    </row>
    <row r="13" spans="1:29" ht="16.5" thickBot="1" x14ac:dyDescent="0.3"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112"/>
      <c r="T13" s="104"/>
      <c r="U13" s="499"/>
      <c r="V13" s="499"/>
      <c r="W13" s="505"/>
      <c r="X13" s="505"/>
      <c r="Y13" s="505"/>
      <c r="Z13" s="505"/>
      <c r="AA13" s="505"/>
      <c r="AB13" s="505"/>
      <c r="AC13" s="505"/>
    </row>
    <row r="14" spans="1:29" s="113" customFormat="1" ht="69.75" customHeight="1" thickBot="1" x14ac:dyDescent="0.3">
      <c r="A14" s="509" t="s">
        <v>143</v>
      </c>
      <c r="B14" s="509" t="s">
        <v>144</v>
      </c>
      <c r="C14" s="509" t="s">
        <v>13</v>
      </c>
      <c r="D14" s="509" t="s">
        <v>14</v>
      </c>
      <c r="E14" s="509" t="s">
        <v>15</v>
      </c>
      <c r="F14" s="509" t="s">
        <v>145</v>
      </c>
      <c r="G14" s="509" t="s">
        <v>146</v>
      </c>
      <c r="H14" s="509" t="s">
        <v>147</v>
      </c>
      <c r="I14" s="509" t="s">
        <v>148</v>
      </c>
      <c r="J14" s="511" t="s">
        <v>20</v>
      </c>
      <c r="K14" s="512"/>
      <c r="L14" s="511" t="s">
        <v>21</v>
      </c>
      <c r="M14" s="512"/>
      <c r="N14" s="511" t="s">
        <v>149</v>
      </c>
      <c r="O14" s="512"/>
      <c r="P14" s="513" t="s">
        <v>150</v>
      </c>
      <c r="Q14" s="506" t="s">
        <v>151</v>
      </c>
      <c r="T14" s="104"/>
      <c r="U14" s="104"/>
      <c r="V14" s="104"/>
      <c r="W14" s="495"/>
      <c r="X14" s="495"/>
      <c r="Y14" s="495"/>
      <c r="Z14" s="495"/>
      <c r="AA14" s="495"/>
      <c r="AB14" s="495"/>
      <c r="AC14" s="495"/>
    </row>
    <row r="15" spans="1:29" s="113" customFormat="1" ht="29.25" customHeight="1" thickBot="1" x14ac:dyDescent="0.3">
      <c r="A15" s="510"/>
      <c r="B15" s="510"/>
      <c r="C15" s="510"/>
      <c r="D15" s="510"/>
      <c r="E15" s="510"/>
      <c r="F15" s="510"/>
      <c r="G15" s="510"/>
      <c r="H15" s="510"/>
      <c r="I15" s="510"/>
      <c r="J15" s="237" t="s">
        <v>24</v>
      </c>
      <c r="K15" s="237" t="s">
        <v>25</v>
      </c>
      <c r="L15" s="237" t="s">
        <v>24</v>
      </c>
      <c r="M15" s="237" t="s">
        <v>25</v>
      </c>
      <c r="N15" s="237" t="s">
        <v>24</v>
      </c>
      <c r="O15" s="237" t="s">
        <v>152</v>
      </c>
      <c r="P15" s="514"/>
      <c r="Q15" s="507"/>
      <c r="T15" s="104"/>
      <c r="U15" s="508"/>
      <c r="V15" s="508"/>
      <c r="W15" s="508"/>
      <c r="X15" s="508"/>
      <c r="Y15" s="508"/>
      <c r="Z15" s="508"/>
      <c r="AA15" s="508"/>
      <c r="AB15" s="508"/>
      <c r="AC15" s="508"/>
    </row>
    <row r="16" spans="1:29" ht="39.75" customHeight="1" x14ac:dyDescent="0.25">
      <c r="A16" s="286"/>
      <c r="B16" s="287" t="s">
        <v>153</v>
      </c>
      <c r="C16" s="287"/>
      <c r="D16" s="287"/>
      <c r="E16" s="288"/>
      <c r="F16" s="289"/>
      <c r="G16" s="289"/>
      <c r="H16" s="289"/>
      <c r="I16" s="290"/>
      <c r="J16" s="290"/>
      <c r="K16" s="290"/>
      <c r="L16" s="290"/>
      <c r="M16" s="290"/>
      <c r="N16" s="290"/>
      <c r="O16" s="290"/>
      <c r="P16" s="119"/>
      <c r="Q16" s="291"/>
      <c r="R16" s="109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</row>
    <row r="17" spans="1:29" ht="12.75" customHeight="1" x14ac:dyDescent="0.25">
      <c r="A17" s="286">
        <v>1</v>
      </c>
      <c r="B17" s="121" t="s">
        <v>154</v>
      </c>
      <c r="C17" s="292" t="s">
        <v>30</v>
      </c>
      <c r="D17" s="292" t="s">
        <v>31</v>
      </c>
      <c r="E17" s="134">
        <v>3</v>
      </c>
      <c r="F17" s="293">
        <v>1</v>
      </c>
      <c r="G17" s="134">
        <v>4.9400000000000004</v>
      </c>
      <c r="H17" s="127">
        <v>17697</v>
      </c>
      <c r="I17" s="127">
        <f t="shared" ref="I17:I22" si="0">G17*H17</f>
        <v>87423.180000000008</v>
      </c>
      <c r="J17" s="294">
        <v>0</v>
      </c>
      <c r="K17" s="293">
        <f>ROUND(I17*J17,2)+(M17*J17)</f>
        <v>0</v>
      </c>
      <c r="L17" s="294">
        <v>0.1</v>
      </c>
      <c r="M17" s="127">
        <f>ROUND(I17*L17*F17,2)</f>
        <v>8742.32</v>
      </c>
      <c r="N17" s="294">
        <v>0.3</v>
      </c>
      <c r="O17" s="293">
        <f t="shared" ref="O17:O22" si="1">ROUND(H17*N17,2)</f>
        <v>5309.1</v>
      </c>
      <c r="P17" s="127">
        <f t="shared" ref="P17:P22" si="2">ROUND((I17*F17)+M17+K17+O17,2)</f>
        <v>101474.6</v>
      </c>
      <c r="Q17" s="295">
        <f>P17*6</f>
        <v>608847.60000000009</v>
      </c>
      <c r="R17" s="109"/>
      <c r="S17" s="129"/>
      <c r="T17" s="234"/>
      <c r="U17" s="502"/>
      <c r="V17" s="502"/>
      <c r="W17" s="502"/>
      <c r="X17" s="502"/>
      <c r="Y17" s="502"/>
      <c r="Z17" s="502"/>
      <c r="AA17" s="502"/>
      <c r="AB17" s="502"/>
      <c r="AC17" s="502"/>
    </row>
    <row r="18" spans="1:29" ht="12.75" hidden="1" customHeight="1" x14ac:dyDescent="0.25">
      <c r="A18" s="286"/>
      <c r="B18" s="121" t="s">
        <v>32</v>
      </c>
      <c r="C18" s="292" t="s">
        <v>30</v>
      </c>
      <c r="D18" s="292" t="s">
        <v>31</v>
      </c>
      <c r="E18" s="134">
        <v>3</v>
      </c>
      <c r="F18" s="293"/>
      <c r="G18" s="293"/>
      <c r="H18" s="127">
        <v>17697</v>
      </c>
      <c r="I18" s="127">
        <f t="shared" si="0"/>
        <v>0</v>
      </c>
      <c r="J18" s="294">
        <v>0</v>
      </c>
      <c r="K18" s="293">
        <f>ROUND(I18*J18,2)+(M18*J18)</f>
        <v>0</v>
      </c>
      <c r="L18" s="294">
        <v>0.1</v>
      </c>
      <c r="M18" s="127">
        <f>ROUND(I18*L18*F18,2)</f>
        <v>0</v>
      </c>
      <c r="N18" s="294"/>
      <c r="O18" s="293">
        <f t="shared" si="1"/>
        <v>0</v>
      </c>
      <c r="P18" s="127">
        <f t="shared" si="2"/>
        <v>0</v>
      </c>
      <c r="Q18" s="295">
        <f t="shared" ref="Q18:Q22" si="3">P18*6</f>
        <v>0</v>
      </c>
      <c r="R18" s="296"/>
      <c r="S18" s="129"/>
      <c r="T18" s="234"/>
      <c r="U18" s="236"/>
      <c r="V18" s="236"/>
      <c r="W18" s="236"/>
      <c r="X18" s="236"/>
      <c r="Y18" s="236"/>
      <c r="Z18" s="236"/>
      <c r="AA18" s="236"/>
      <c r="AB18" s="236"/>
      <c r="AC18" s="236"/>
    </row>
    <row r="19" spans="1:29" ht="12.75" hidden="1" customHeight="1" x14ac:dyDescent="0.25">
      <c r="A19" s="286"/>
      <c r="B19" s="121" t="s">
        <v>33</v>
      </c>
      <c r="C19" s="297"/>
      <c r="D19" s="297"/>
      <c r="E19" s="134">
        <v>3</v>
      </c>
      <c r="F19" s="293"/>
      <c r="G19" s="293"/>
      <c r="H19" s="127">
        <v>17697</v>
      </c>
      <c r="I19" s="127">
        <f t="shared" si="0"/>
        <v>0</v>
      </c>
      <c r="J19" s="294">
        <v>0</v>
      </c>
      <c r="K19" s="293">
        <f>ROUND(I19*J19,2)+(M19*J19)</f>
        <v>0</v>
      </c>
      <c r="L19" s="294">
        <v>0.1</v>
      </c>
      <c r="M19" s="127">
        <f>ROUND(I19*L19*1.5,2)</f>
        <v>0</v>
      </c>
      <c r="N19" s="294"/>
      <c r="O19" s="293">
        <f t="shared" si="1"/>
        <v>0</v>
      </c>
      <c r="P19" s="127">
        <f t="shared" si="2"/>
        <v>0</v>
      </c>
      <c r="Q19" s="295">
        <f t="shared" si="3"/>
        <v>0</v>
      </c>
      <c r="R19" s="296"/>
      <c r="S19" s="129"/>
      <c r="T19" s="132"/>
      <c r="U19" s="129"/>
    </row>
    <row r="20" spans="1:29" ht="12.75" customHeight="1" x14ac:dyDescent="0.25">
      <c r="A20" s="286">
        <v>2</v>
      </c>
      <c r="B20" s="121" t="s">
        <v>34</v>
      </c>
      <c r="C20" s="297"/>
      <c r="D20" s="133" t="s">
        <v>37</v>
      </c>
      <c r="E20" s="134">
        <v>3</v>
      </c>
      <c r="F20" s="293">
        <v>1</v>
      </c>
      <c r="G20" s="134">
        <v>2.4</v>
      </c>
      <c r="H20" s="127">
        <v>17697</v>
      </c>
      <c r="I20" s="127">
        <f t="shared" si="0"/>
        <v>42472.799999999996</v>
      </c>
      <c r="J20" s="294">
        <v>0</v>
      </c>
      <c r="K20" s="293">
        <f>ROUND(I20*J20,2)</f>
        <v>0</v>
      </c>
      <c r="L20" s="294">
        <v>0.1</v>
      </c>
      <c r="M20" s="127">
        <f>ROUND(I20*L20*F20,2)</f>
        <v>4247.28</v>
      </c>
      <c r="N20" s="294"/>
      <c r="O20" s="293">
        <f t="shared" si="1"/>
        <v>0</v>
      </c>
      <c r="P20" s="127">
        <f t="shared" si="2"/>
        <v>46720.08</v>
      </c>
      <c r="Q20" s="295">
        <f t="shared" si="3"/>
        <v>280320.48</v>
      </c>
      <c r="R20" s="109"/>
      <c r="S20" s="129"/>
      <c r="T20" s="132"/>
      <c r="U20" s="129"/>
    </row>
    <row r="21" spans="1:29" ht="12.75" hidden="1" customHeight="1" x14ac:dyDescent="0.25">
      <c r="A21" s="286"/>
      <c r="B21" s="135" t="s">
        <v>38</v>
      </c>
      <c r="C21" s="297"/>
      <c r="D21" s="136"/>
      <c r="E21" s="134"/>
      <c r="F21" s="293"/>
      <c r="G21" s="134"/>
      <c r="H21" s="127">
        <v>17697</v>
      </c>
      <c r="I21" s="127">
        <f t="shared" si="0"/>
        <v>0</v>
      </c>
      <c r="J21" s="294">
        <v>0</v>
      </c>
      <c r="K21" s="293">
        <f>ROUND(I21*J21,2)</f>
        <v>0</v>
      </c>
      <c r="L21" s="294">
        <v>0.1</v>
      </c>
      <c r="M21" s="127">
        <f>ROUND(I21*L21*F21,2)</f>
        <v>0</v>
      </c>
      <c r="N21" s="294"/>
      <c r="O21" s="293">
        <f t="shared" si="1"/>
        <v>0</v>
      </c>
      <c r="P21" s="127">
        <f t="shared" si="2"/>
        <v>0</v>
      </c>
      <c r="Q21" s="295">
        <f t="shared" si="3"/>
        <v>0</v>
      </c>
      <c r="R21" s="109"/>
      <c r="S21" s="129"/>
      <c r="T21" s="132"/>
      <c r="U21" s="129"/>
    </row>
    <row r="22" spans="1:29" ht="12.75" customHeight="1" thickBot="1" x14ac:dyDescent="0.3">
      <c r="A22" s="286">
        <v>3</v>
      </c>
      <c r="B22" s="297" t="s">
        <v>40</v>
      </c>
      <c r="C22" s="297"/>
      <c r="D22" s="137" t="s">
        <v>37</v>
      </c>
      <c r="E22" s="138">
        <v>2</v>
      </c>
      <c r="F22" s="293">
        <v>0.5</v>
      </c>
      <c r="G22" s="293">
        <v>3.29</v>
      </c>
      <c r="H22" s="127">
        <v>17697</v>
      </c>
      <c r="I22" s="127">
        <f t="shared" si="0"/>
        <v>58223.13</v>
      </c>
      <c r="J22" s="294">
        <v>0</v>
      </c>
      <c r="K22" s="293">
        <f>ROUND(I22*J22,2)</f>
        <v>0</v>
      </c>
      <c r="L22" s="294">
        <v>0.1</v>
      </c>
      <c r="M22" s="127">
        <f>ROUND(I22*L22*F22,2)</f>
        <v>2911.16</v>
      </c>
      <c r="N22" s="294"/>
      <c r="O22" s="293">
        <f t="shared" si="1"/>
        <v>0</v>
      </c>
      <c r="P22" s="127">
        <f t="shared" si="2"/>
        <v>32022.73</v>
      </c>
      <c r="Q22" s="295">
        <f t="shared" si="3"/>
        <v>192136.38</v>
      </c>
      <c r="R22" s="296"/>
      <c r="S22" s="129"/>
      <c r="T22" s="132"/>
      <c r="U22" s="129"/>
    </row>
    <row r="23" spans="1:29" s="144" customFormat="1" ht="16.5" customHeight="1" thickBot="1" x14ac:dyDescent="0.3">
      <c r="A23" s="536" t="s">
        <v>42</v>
      </c>
      <c r="B23" s="537"/>
      <c r="C23" s="298"/>
      <c r="D23" s="298"/>
      <c r="E23" s="299"/>
      <c r="F23" s="300">
        <f>SUM(F17:F22)</f>
        <v>2.5</v>
      </c>
      <c r="G23" s="300"/>
      <c r="H23" s="300"/>
      <c r="I23" s="300">
        <f>SUM(I17:I22)</f>
        <v>188119.11000000002</v>
      </c>
      <c r="J23" s="300"/>
      <c r="K23" s="300">
        <f>SUM(K17:K22)</f>
        <v>0</v>
      </c>
      <c r="L23" s="300"/>
      <c r="M23" s="300">
        <f>SUM(M17:M22)</f>
        <v>15900.759999999998</v>
      </c>
      <c r="N23" s="301"/>
      <c r="O23" s="300">
        <f>SUM(O17:O22)</f>
        <v>5309.1</v>
      </c>
      <c r="P23" s="300">
        <f>ROUND(SUM(P17:P22),2)</f>
        <v>180217.41</v>
      </c>
      <c r="Q23" s="302">
        <f>SUM(Q17:Q22)</f>
        <v>1081304.46</v>
      </c>
      <c r="R23" s="303"/>
      <c r="S23" s="145">
        <f>'[1]РАСЧЁТЫ по действующей системе'!W15</f>
        <v>129895.99</v>
      </c>
      <c r="T23" s="146">
        <f>P23-S23</f>
        <v>50321.42</v>
      </c>
      <c r="U23" s="146" t="b">
        <f>IF(P23&lt;&gt;S23,FALSE,0)</f>
        <v>0</v>
      </c>
    </row>
    <row r="24" spans="1:29" ht="39.75" customHeight="1" x14ac:dyDescent="0.25">
      <c r="A24" s="286"/>
      <c r="B24" s="304" t="s">
        <v>155</v>
      </c>
      <c r="C24" s="305"/>
      <c r="D24" s="305"/>
      <c r="E24" s="306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307"/>
      <c r="R24" s="296"/>
      <c r="S24" s="129"/>
      <c r="U24" s="129"/>
    </row>
    <row r="25" spans="1:29" x14ac:dyDescent="0.25">
      <c r="A25" s="286">
        <v>4</v>
      </c>
      <c r="B25" s="135" t="s">
        <v>63</v>
      </c>
      <c r="C25" s="136" t="s">
        <v>48</v>
      </c>
      <c r="D25" s="136" t="s">
        <v>56</v>
      </c>
      <c r="E25" s="134">
        <v>3</v>
      </c>
      <c r="F25" s="293">
        <v>0.5</v>
      </c>
      <c r="G25" s="293">
        <v>3.73</v>
      </c>
      <c r="H25" s="127">
        <v>17697</v>
      </c>
      <c r="I25" s="127">
        <f>27253.38*2</f>
        <v>54506.76</v>
      </c>
      <c r="J25" s="294">
        <v>0</v>
      </c>
      <c r="K25" s="293">
        <f t="shared" ref="K25:K34" si="4">ROUND(I25*J25,2)+(M25*J25)</f>
        <v>0</v>
      </c>
      <c r="L25" s="294">
        <v>0.1</v>
      </c>
      <c r="M25" s="127">
        <f>ROUND(I25*L25*F25,2)</f>
        <v>2725.34</v>
      </c>
      <c r="N25" s="294"/>
      <c r="O25" s="293">
        <f t="shared" ref="O25:O34" si="5">ROUND(H25*N25*F25,2)</f>
        <v>0</v>
      </c>
      <c r="P25" s="127">
        <f t="shared" ref="P25:P30" si="6">ROUND((I25*F25)+M25+K25+O25,2)</f>
        <v>29978.720000000001</v>
      </c>
      <c r="Q25" s="295">
        <f>P25*6</f>
        <v>179872.32</v>
      </c>
      <c r="R25" s="109"/>
      <c r="S25" s="156"/>
      <c r="T25" s="132"/>
      <c r="U25" s="129"/>
    </row>
    <row r="26" spans="1:29" x14ac:dyDescent="0.25">
      <c r="A26" s="286">
        <v>5</v>
      </c>
      <c r="B26" s="135" t="s">
        <v>66</v>
      </c>
      <c r="C26" s="136" t="s">
        <v>48</v>
      </c>
      <c r="D26" s="136" t="s">
        <v>53</v>
      </c>
      <c r="E26" s="134">
        <v>4</v>
      </c>
      <c r="F26" s="293">
        <v>0.25</v>
      </c>
      <c r="G26" s="293">
        <v>3.65</v>
      </c>
      <c r="H26" s="127">
        <v>17697</v>
      </c>
      <c r="I26" s="127">
        <f t="shared" ref="I26:I32" si="7">G26*H26</f>
        <v>64594.049999999996</v>
      </c>
      <c r="J26" s="294">
        <v>0</v>
      </c>
      <c r="K26" s="293">
        <f t="shared" si="4"/>
        <v>0</v>
      </c>
      <c r="L26" s="294">
        <v>0.1</v>
      </c>
      <c r="M26" s="127">
        <f t="shared" ref="M26:M34" si="8">ROUND(I26*L26*F26,2)</f>
        <v>1614.85</v>
      </c>
      <c r="N26" s="294">
        <v>0.4</v>
      </c>
      <c r="O26" s="293">
        <f t="shared" si="5"/>
        <v>1769.7</v>
      </c>
      <c r="P26" s="127">
        <f>ROUND((I26*F26)+M26+K26+O26,2)-0.01</f>
        <v>19533.050000000003</v>
      </c>
      <c r="Q26" s="295">
        <f t="shared" ref="Q26:Q34" si="9">P26*6</f>
        <v>117198.30000000002</v>
      </c>
      <c r="R26" s="109"/>
      <c r="S26" s="129"/>
      <c r="T26" s="132"/>
      <c r="U26" s="129"/>
    </row>
    <row r="27" spans="1:29" x14ac:dyDescent="0.25">
      <c r="A27" s="286">
        <v>6</v>
      </c>
      <c r="B27" s="135" t="s">
        <v>68</v>
      </c>
      <c r="C27" s="136" t="s">
        <v>48</v>
      </c>
      <c r="D27" s="136" t="s">
        <v>53</v>
      </c>
      <c r="E27" s="134">
        <v>4</v>
      </c>
      <c r="F27" s="293">
        <v>0.25</v>
      </c>
      <c r="G27" s="293">
        <v>3.65</v>
      </c>
      <c r="H27" s="127">
        <v>17697</v>
      </c>
      <c r="I27" s="127">
        <f t="shared" si="7"/>
        <v>64594.049999999996</v>
      </c>
      <c r="J27" s="294">
        <v>0</v>
      </c>
      <c r="K27" s="293">
        <f t="shared" si="4"/>
        <v>0</v>
      </c>
      <c r="L27" s="294">
        <v>0.1</v>
      </c>
      <c r="M27" s="127">
        <f t="shared" si="8"/>
        <v>1614.85</v>
      </c>
      <c r="N27" s="294">
        <v>0.4</v>
      </c>
      <c r="O27" s="293">
        <f t="shared" si="5"/>
        <v>1769.7</v>
      </c>
      <c r="P27" s="127">
        <f t="shared" si="6"/>
        <v>19533.060000000001</v>
      </c>
      <c r="Q27" s="295">
        <f t="shared" si="9"/>
        <v>117198.36000000002</v>
      </c>
      <c r="R27" s="109"/>
      <c r="S27" s="129"/>
      <c r="T27" s="132"/>
      <c r="U27" s="129"/>
    </row>
    <row r="28" spans="1:29" x14ac:dyDescent="0.25">
      <c r="A28" s="286">
        <v>7</v>
      </c>
      <c r="B28" s="135" t="s">
        <v>71</v>
      </c>
      <c r="C28" s="136" t="s">
        <v>48</v>
      </c>
      <c r="D28" s="136" t="s">
        <v>49</v>
      </c>
      <c r="E28" s="134">
        <v>4</v>
      </c>
      <c r="F28" s="293">
        <v>1</v>
      </c>
      <c r="G28" s="293">
        <v>2.68</v>
      </c>
      <c r="H28" s="127">
        <v>17697</v>
      </c>
      <c r="I28" s="127">
        <f t="shared" si="7"/>
        <v>47427.960000000006</v>
      </c>
      <c r="J28" s="294">
        <v>0</v>
      </c>
      <c r="K28" s="293">
        <f t="shared" si="4"/>
        <v>0</v>
      </c>
      <c r="L28" s="294">
        <v>0.1</v>
      </c>
      <c r="M28" s="127">
        <f t="shared" si="8"/>
        <v>4742.8</v>
      </c>
      <c r="N28" s="294">
        <v>0.4</v>
      </c>
      <c r="O28" s="293">
        <f t="shared" si="5"/>
        <v>7078.8</v>
      </c>
      <c r="P28" s="127">
        <f t="shared" si="6"/>
        <v>59249.56</v>
      </c>
      <c r="Q28" s="295">
        <f t="shared" si="9"/>
        <v>355497.36</v>
      </c>
      <c r="R28" s="296"/>
      <c r="S28" s="129"/>
      <c r="T28" s="132"/>
      <c r="U28" s="129"/>
    </row>
    <row r="29" spans="1:29" x14ac:dyDescent="0.25">
      <c r="A29" s="286">
        <v>8</v>
      </c>
      <c r="B29" s="135" t="s">
        <v>158</v>
      </c>
      <c r="C29" s="136" t="s">
        <v>48</v>
      </c>
      <c r="D29" s="136" t="s">
        <v>49</v>
      </c>
      <c r="E29" s="134">
        <v>4</v>
      </c>
      <c r="F29" s="293">
        <v>0.5</v>
      </c>
      <c r="G29" s="293">
        <v>2.68</v>
      </c>
      <c r="H29" s="127">
        <v>17697</v>
      </c>
      <c r="I29" s="127">
        <f t="shared" si="7"/>
        <v>47427.960000000006</v>
      </c>
      <c r="J29" s="294">
        <v>0</v>
      </c>
      <c r="K29" s="293">
        <f t="shared" si="4"/>
        <v>0</v>
      </c>
      <c r="L29" s="294">
        <v>0.1</v>
      </c>
      <c r="M29" s="127">
        <f t="shared" si="8"/>
        <v>2371.4</v>
      </c>
      <c r="N29" s="294">
        <v>0.4</v>
      </c>
      <c r="O29" s="293">
        <f t="shared" si="5"/>
        <v>3539.4</v>
      </c>
      <c r="P29" s="127">
        <f t="shared" si="6"/>
        <v>29624.78</v>
      </c>
      <c r="Q29" s="295">
        <f t="shared" si="9"/>
        <v>177748.68</v>
      </c>
      <c r="R29" s="296"/>
      <c r="S29" s="129"/>
      <c r="T29" s="132"/>
      <c r="U29" s="129"/>
    </row>
    <row r="30" spans="1:29" x14ac:dyDescent="0.25">
      <c r="A30" s="286">
        <v>9</v>
      </c>
      <c r="B30" s="135" t="s">
        <v>73</v>
      </c>
      <c r="C30" s="136"/>
      <c r="D30" s="136" t="s">
        <v>37</v>
      </c>
      <c r="E30" s="134">
        <v>2</v>
      </c>
      <c r="F30" s="293">
        <v>1</v>
      </c>
      <c r="G30" s="293">
        <v>3.15</v>
      </c>
      <c r="H30" s="127">
        <v>17697</v>
      </c>
      <c r="I30" s="127">
        <f t="shared" si="7"/>
        <v>55745.549999999996</v>
      </c>
      <c r="J30" s="294">
        <v>0</v>
      </c>
      <c r="K30" s="293">
        <f t="shared" si="4"/>
        <v>0</v>
      </c>
      <c r="L30" s="294">
        <v>0.1</v>
      </c>
      <c r="M30" s="127">
        <f t="shared" si="8"/>
        <v>5574.56</v>
      </c>
      <c r="N30" s="294"/>
      <c r="O30" s="293">
        <f t="shared" si="5"/>
        <v>0</v>
      </c>
      <c r="P30" s="127">
        <f t="shared" si="6"/>
        <v>61320.11</v>
      </c>
      <c r="Q30" s="295">
        <f t="shared" si="9"/>
        <v>367920.66000000003</v>
      </c>
      <c r="R30" s="296"/>
      <c r="S30" s="129"/>
      <c r="T30" s="132"/>
      <c r="U30" s="129"/>
    </row>
    <row r="31" spans="1:29" x14ac:dyDescent="0.25">
      <c r="A31" s="286">
        <v>10</v>
      </c>
      <c r="B31" s="135" t="s">
        <v>78</v>
      </c>
      <c r="C31" s="136" t="s">
        <v>48</v>
      </c>
      <c r="D31" s="136" t="s">
        <v>56</v>
      </c>
      <c r="E31" s="134">
        <v>4</v>
      </c>
      <c r="F31" s="293">
        <v>12.5</v>
      </c>
      <c r="G31" s="293">
        <v>3.17</v>
      </c>
      <c r="H31" s="127">
        <v>17697</v>
      </c>
      <c r="I31" s="127">
        <v>776898.3</v>
      </c>
      <c r="J31" s="294">
        <v>0</v>
      </c>
      <c r="K31" s="293">
        <f t="shared" si="4"/>
        <v>0</v>
      </c>
      <c r="L31" s="294">
        <v>0.1</v>
      </c>
      <c r="M31" s="127">
        <v>77689.87</v>
      </c>
      <c r="N31" s="294">
        <v>0.4</v>
      </c>
      <c r="O31" s="293">
        <f t="shared" si="5"/>
        <v>88485</v>
      </c>
      <c r="P31" s="127">
        <v>951922.08</v>
      </c>
      <c r="Q31" s="295">
        <f t="shared" si="9"/>
        <v>5711532.4799999995</v>
      </c>
      <c r="R31" s="296"/>
      <c r="S31" s="129"/>
      <c r="T31" s="132"/>
      <c r="U31" s="129"/>
    </row>
    <row r="32" spans="1:29" ht="31.5" x14ac:dyDescent="0.25">
      <c r="A32" s="286">
        <v>11</v>
      </c>
      <c r="B32" s="135" t="s">
        <v>92</v>
      </c>
      <c r="C32" s="297"/>
      <c r="D32" s="297"/>
      <c r="E32" s="134" t="s">
        <v>94</v>
      </c>
      <c r="F32" s="293">
        <v>0.25</v>
      </c>
      <c r="G32" s="293">
        <v>1.72</v>
      </c>
      <c r="H32" s="127">
        <v>17697</v>
      </c>
      <c r="I32" s="127">
        <f t="shared" si="7"/>
        <v>30438.84</v>
      </c>
      <c r="J32" s="294">
        <v>0</v>
      </c>
      <c r="K32" s="293">
        <f t="shared" si="4"/>
        <v>0</v>
      </c>
      <c r="L32" s="294">
        <v>0.1</v>
      </c>
      <c r="M32" s="127">
        <f t="shared" si="8"/>
        <v>760.97</v>
      </c>
      <c r="N32" s="294"/>
      <c r="O32" s="293"/>
      <c r="P32" s="127">
        <f>ROUND((I32*F32)+M32+K32+O32,2)</f>
        <v>8370.68</v>
      </c>
      <c r="Q32" s="295">
        <f t="shared" si="9"/>
        <v>50224.08</v>
      </c>
      <c r="R32" s="109"/>
      <c r="S32" s="129"/>
      <c r="T32" s="132"/>
      <c r="U32" s="129"/>
    </row>
    <row r="33" spans="1:24" x14ac:dyDescent="0.25">
      <c r="A33" s="286">
        <v>12</v>
      </c>
      <c r="B33" s="135" t="s">
        <v>95</v>
      </c>
      <c r="C33" s="297"/>
      <c r="D33" s="297"/>
      <c r="E33" s="134" t="s">
        <v>94</v>
      </c>
      <c r="F33" s="134">
        <v>6.25</v>
      </c>
      <c r="G33" s="293">
        <v>1.704</v>
      </c>
      <c r="H33" s="127">
        <v>17697</v>
      </c>
      <c r="I33" s="127">
        <v>193782.15</v>
      </c>
      <c r="J33" s="294">
        <v>0</v>
      </c>
      <c r="K33" s="293">
        <f t="shared" si="4"/>
        <v>0</v>
      </c>
      <c r="L33" s="294">
        <v>0.1</v>
      </c>
      <c r="M33" s="127">
        <v>19378.22</v>
      </c>
      <c r="N33" s="294">
        <v>0.7</v>
      </c>
      <c r="O33" s="293">
        <f t="shared" si="5"/>
        <v>77424.38</v>
      </c>
      <c r="P33" s="127">
        <v>290584.74</v>
      </c>
      <c r="Q33" s="295">
        <f t="shared" si="9"/>
        <v>1743508.44</v>
      </c>
      <c r="R33" s="308"/>
      <c r="S33" s="129"/>
      <c r="T33" s="132"/>
      <c r="W33" s="158"/>
      <c r="X33" s="158"/>
    </row>
    <row r="34" spans="1:24" ht="32.25" thickBot="1" x14ac:dyDescent="0.3">
      <c r="A34" s="286">
        <v>13</v>
      </c>
      <c r="B34" s="135" t="s">
        <v>99</v>
      </c>
      <c r="C34" s="136" t="s">
        <v>48</v>
      </c>
      <c r="D34" s="136" t="s">
        <v>56</v>
      </c>
      <c r="E34" s="134">
        <v>1</v>
      </c>
      <c r="F34" s="134">
        <v>1.25</v>
      </c>
      <c r="G34" s="293">
        <v>4.32</v>
      </c>
      <c r="H34" s="127">
        <v>17697</v>
      </c>
      <c r="I34" s="127">
        <f>G34*H34</f>
        <v>76451.040000000008</v>
      </c>
      <c r="J34" s="294">
        <v>0</v>
      </c>
      <c r="K34" s="293">
        <f t="shared" si="4"/>
        <v>0</v>
      </c>
      <c r="L34" s="294">
        <v>0.1</v>
      </c>
      <c r="M34" s="127">
        <f t="shared" si="8"/>
        <v>9556.3799999999992</v>
      </c>
      <c r="N34" s="294">
        <v>0.4</v>
      </c>
      <c r="O34" s="293">
        <f t="shared" si="5"/>
        <v>8848.5</v>
      </c>
      <c r="P34" s="127">
        <f>ROUND((I34*F34)+M34+K34+O34,2)</f>
        <v>113968.68</v>
      </c>
      <c r="Q34" s="295">
        <f t="shared" si="9"/>
        <v>683812.08</v>
      </c>
      <c r="R34" s="109"/>
      <c r="S34" s="129"/>
      <c r="T34" s="132"/>
      <c r="U34" s="129"/>
    </row>
    <row r="35" spans="1:24" s="239" customFormat="1" ht="16.5" thickBot="1" x14ac:dyDescent="0.3">
      <c r="A35" s="536" t="s">
        <v>160</v>
      </c>
      <c r="B35" s="537"/>
      <c r="C35" s="298"/>
      <c r="D35" s="298"/>
      <c r="E35" s="299"/>
      <c r="F35" s="309">
        <f>SUM(F25:F34)</f>
        <v>23.75</v>
      </c>
      <c r="G35" s="309"/>
      <c r="H35" s="309"/>
      <c r="I35" s="300">
        <f>SUM(I25:I34)+54506.76+55568.58+55568.68</f>
        <v>1577510.6800000002</v>
      </c>
      <c r="J35" s="300"/>
      <c r="K35" s="300">
        <f>SUM(K25:K34)</f>
        <v>0</v>
      </c>
      <c r="L35" s="300"/>
      <c r="M35" s="300">
        <f>SUM(M25:M34)-M34</f>
        <v>116472.86</v>
      </c>
      <c r="N35" s="301"/>
      <c r="O35" s="300">
        <f>SUM(O25:O34)</f>
        <v>188915.48</v>
      </c>
      <c r="P35" s="300">
        <f>SUM(P25:P34)</f>
        <v>1584085.4599999997</v>
      </c>
      <c r="Q35" s="302">
        <f>P35*6</f>
        <v>9504512.7599999979</v>
      </c>
      <c r="R35" s="310"/>
      <c r="S35" s="145">
        <f>'[1]РАСЧЁТЫ по действующей системе'!W92</f>
        <v>1704283.07</v>
      </c>
      <c r="T35" s="146">
        <f>P35-S35</f>
        <v>-120197.61000000034</v>
      </c>
      <c r="U35" s="146" t="b">
        <f>IF(P35&lt;&gt;S35,FALSE,0)</f>
        <v>0</v>
      </c>
      <c r="V35" s="161"/>
    </row>
    <row r="36" spans="1:24" ht="47.25" x14ac:dyDescent="0.25">
      <c r="A36" s="286"/>
      <c r="B36" s="311" t="s">
        <v>161</v>
      </c>
      <c r="C36" s="312"/>
      <c r="D36" s="312"/>
      <c r="E36" s="306"/>
      <c r="F36" s="313"/>
      <c r="G36" s="313"/>
      <c r="H36" s="313"/>
      <c r="I36" s="151"/>
      <c r="J36" s="151"/>
      <c r="K36" s="151"/>
      <c r="L36" s="151"/>
      <c r="M36" s="151"/>
      <c r="N36" s="151"/>
      <c r="O36" s="151"/>
      <c r="P36" s="151"/>
      <c r="Q36" s="307"/>
      <c r="R36" s="109"/>
      <c r="S36" s="132"/>
      <c r="T36" s="132"/>
      <c r="U36" s="132"/>
    </row>
    <row r="37" spans="1:24" x14ac:dyDescent="0.25">
      <c r="A37" s="286">
        <v>14</v>
      </c>
      <c r="B37" s="153" t="s">
        <v>106</v>
      </c>
      <c r="C37" s="314"/>
      <c r="D37" s="314"/>
      <c r="E37" s="154"/>
      <c r="F37" s="134">
        <v>2</v>
      </c>
      <c r="G37" s="293">
        <v>2.1</v>
      </c>
      <c r="H37" s="127">
        <v>17697</v>
      </c>
      <c r="I37" s="127">
        <f t="shared" ref="I37:I46" si="10">G37*H37</f>
        <v>37163.700000000004</v>
      </c>
      <c r="J37" s="294">
        <v>0</v>
      </c>
      <c r="K37" s="293">
        <f t="shared" ref="K37:K46" si="11">ROUND(I37*J37,2)</f>
        <v>0</v>
      </c>
      <c r="L37" s="294">
        <v>0.1</v>
      </c>
      <c r="M37" s="127">
        <f t="shared" ref="M37:M46" si="12">ROUND(I37*L37*F37,2)</f>
        <v>7432.74</v>
      </c>
      <c r="N37" s="294">
        <v>0.6</v>
      </c>
      <c r="O37" s="293">
        <f t="shared" ref="O37:O46" si="13">ROUND(H37*N37,2)</f>
        <v>10618.2</v>
      </c>
      <c r="P37" s="127">
        <f>ROUND((I37*F37)+M37+K37+O37,2)</f>
        <v>92378.34</v>
      </c>
      <c r="Q37" s="295">
        <f>P37*6</f>
        <v>554270.04</v>
      </c>
      <c r="R37" s="109"/>
      <c r="S37" s="129"/>
      <c r="T37" s="132"/>
      <c r="U37" s="129"/>
    </row>
    <row r="38" spans="1:24" x14ac:dyDescent="0.25">
      <c r="A38" s="286">
        <v>15</v>
      </c>
      <c r="B38" s="153" t="s">
        <v>109</v>
      </c>
      <c r="C38" s="314"/>
      <c r="D38" s="314"/>
      <c r="E38" s="154"/>
      <c r="F38" s="134">
        <v>0.5</v>
      </c>
      <c r="G38" s="293">
        <v>1.71</v>
      </c>
      <c r="H38" s="127">
        <v>17697</v>
      </c>
      <c r="I38" s="127">
        <f t="shared" si="10"/>
        <v>30261.87</v>
      </c>
      <c r="J38" s="294">
        <v>0</v>
      </c>
      <c r="K38" s="293">
        <f t="shared" si="11"/>
        <v>0</v>
      </c>
      <c r="L38" s="294">
        <v>0.1</v>
      </c>
      <c r="M38" s="127">
        <f t="shared" si="12"/>
        <v>1513.09</v>
      </c>
      <c r="N38" s="315"/>
      <c r="O38" s="293">
        <f t="shared" si="13"/>
        <v>0</v>
      </c>
      <c r="P38" s="127">
        <f t="shared" ref="P38:P46" si="14">ROUND((I38*F38)+M38+K38+O38,2)</f>
        <v>16644.03</v>
      </c>
      <c r="Q38" s="295">
        <f t="shared" ref="Q38:Q46" si="15">P38*6</f>
        <v>99864.18</v>
      </c>
      <c r="R38" s="296"/>
      <c r="S38" s="129"/>
      <c r="T38" s="132"/>
      <c r="U38" s="129"/>
    </row>
    <row r="39" spans="1:24" x14ac:dyDescent="0.25">
      <c r="A39" s="286">
        <v>16</v>
      </c>
      <c r="B39" s="153" t="s">
        <v>111</v>
      </c>
      <c r="C39" s="314"/>
      <c r="D39" s="314"/>
      <c r="E39" s="154"/>
      <c r="F39" s="134">
        <v>0.5</v>
      </c>
      <c r="G39" s="134">
        <v>1.83</v>
      </c>
      <c r="H39" s="127">
        <v>17697</v>
      </c>
      <c r="I39" s="127">
        <f t="shared" si="10"/>
        <v>32385.510000000002</v>
      </c>
      <c r="J39" s="294">
        <v>0</v>
      </c>
      <c r="K39" s="293">
        <f t="shared" si="11"/>
        <v>0</v>
      </c>
      <c r="L39" s="294">
        <v>0.1</v>
      </c>
      <c r="M39" s="127">
        <f t="shared" si="12"/>
        <v>1619.28</v>
      </c>
      <c r="N39" s="294"/>
      <c r="O39" s="293">
        <f t="shared" si="13"/>
        <v>0</v>
      </c>
      <c r="P39" s="127">
        <f t="shared" si="14"/>
        <v>17812.04</v>
      </c>
      <c r="Q39" s="295">
        <f t="shared" si="15"/>
        <v>106872.24</v>
      </c>
      <c r="R39" s="109"/>
      <c r="S39" s="132"/>
      <c r="T39" s="132"/>
      <c r="U39" s="129"/>
    </row>
    <row r="40" spans="1:24" ht="31.5" x14ac:dyDescent="0.25">
      <c r="A40" s="286">
        <v>17</v>
      </c>
      <c r="B40" s="135" t="s">
        <v>112</v>
      </c>
      <c r="C40" s="314"/>
      <c r="D40" s="314"/>
      <c r="E40" s="155"/>
      <c r="F40" s="134">
        <v>1</v>
      </c>
      <c r="G40" s="134">
        <v>1.71</v>
      </c>
      <c r="H40" s="127">
        <v>17697</v>
      </c>
      <c r="I40" s="127">
        <f t="shared" si="10"/>
        <v>30261.87</v>
      </c>
      <c r="J40" s="294">
        <v>0</v>
      </c>
      <c r="K40" s="293">
        <f t="shared" si="11"/>
        <v>0</v>
      </c>
      <c r="L40" s="294">
        <v>0.1</v>
      </c>
      <c r="M40" s="127">
        <f t="shared" si="12"/>
        <v>3026.19</v>
      </c>
      <c r="N40" s="294">
        <v>0.3</v>
      </c>
      <c r="O40" s="293">
        <f t="shared" si="13"/>
        <v>5309.1</v>
      </c>
      <c r="P40" s="127">
        <f t="shared" si="14"/>
        <v>38597.160000000003</v>
      </c>
      <c r="Q40" s="295">
        <f t="shared" si="15"/>
        <v>231582.96000000002</v>
      </c>
      <c r="R40" s="109"/>
      <c r="S40" s="132"/>
      <c r="T40" s="132"/>
      <c r="U40" s="129"/>
    </row>
    <row r="41" spans="1:24" ht="31.5" x14ac:dyDescent="0.25">
      <c r="A41" s="286">
        <v>18</v>
      </c>
      <c r="B41" s="135" t="s">
        <v>113</v>
      </c>
      <c r="C41" s="314"/>
      <c r="D41" s="314"/>
      <c r="E41" s="155"/>
      <c r="F41" s="134">
        <v>1</v>
      </c>
      <c r="G41" s="134">
        <v>1.71</v>
      </c>
      <c r="H41" s="127">
        <v>17697</v>
      </c>
      <c r="I41" s="127">
        <f t="shared" si="10"/>
        <v>30261.87</v>
      </c>
      <c r="J41" s="294">
        <v>0</v>
      </c>
      <c r="K41" s="293">
        <f t="shared" si="11"/>
        <v>0</v>
      </c>
      <c r="L41" s="294">
        <v>0.1</v>
      </c>
      <c r="M41" s="127">
        <f t="shared" si="12"/>
        <v>3026.19</v>
      </c>
      <c r="N41" s="294">
        <v>0.3</v>
      </c>
      <c r="O41" s="293">
        <f t="shared" si="13"/>
        <v>5309.1</v>
      </c>
      <c r="P41" s="127">
        <f t="shared" si="14"/>
        <v>38597.160000000003</v>
      </c>
      <c r="Q41" s="295">
        <f t="shared" si="15"/>
        <v>231582.96000000002</v>
      </c>
      <c r="R41" s="109"/>
      <c r="S41" s="132"/>
      <c r="T41" s="132"/>
      <c r="U41" s="129"/>
    </row>
    <row r="42" spans="1:24" ht="31.5" x14ac:dyDescent="0.25">
      <c r="A42" s="286">
        <v>19</v>
      </c>
      <c r="B42" s="135" t="s">
        <v>114</v>
      </c>
      <c r="C42" s="314"/>
      <c r="D42" s="314"/>
      <c r="E42" s="154"/>
      <c r="F42" s="134">
        <v>1</v>
      </c>
      <c r="G42" s="134">
        <v>1.71</v>
      </c>
      <c r="H42" s="127">
        <v>17697</v>
      </c>
      <c r="I42" s="127">
        <f t="shared" si="10"/>
        <v>30261.87</v>
      </c>
      <c r="J42" s="294">
        <v>0</v>
      </c>
      <c r="K42" s="293">
        <f t="shared" si="11"/>
        <v>0</v>
      </c>
      <c r="L42" s="294">
        <v>0.1</v>
      </c>
      <c r="M42" s="127">
        <f t="shared" si="12"/>
        <v>3026.19</v>
      </c>
      <c r="N42" s="294"/>
      <c r="O42" s="293">
        <f t="shared" si="13"/>
        <v>0</v>
      </c>
      <c r="P42" s="127">
        <f t="shared" si="14"/>
        <v>33288.06</v>
      </c>
      <c r="Q42" s="295">
        <f t="shared" si="15"/>
        <v>199728.36</v>
      </c>
      <c r="R42" s="109"/>
      <c r="S42" s="129"/>
      <c r="T42" s="132"/>
      <c r="U42" s="129"/>
    </row>
    <row r="43" spans="1:24" x14ac:dyDescent="0.25">
      <c r="A43" s="286">
        <v>20</v>
      </c>
      <c r="B43" s="135" t="s">
        <v>115</v>
      </c>
      <c r="C43" s="297"/>
      <c r="D43" s="297"/>
      <c r="E43" s="134"/>
      <c r="F43" s="134">
        <v>1</v>
      </c>
      <c r="G43" s="134">
        <v>1.96</v>
      </c>
      <c r="H43" s="127">
        <v>17697</v>
      </c>
      <c r="I43" s="127">
        <f t="shared" si="10"/>
        <v>34686.120000000003</v>
      </c>
      <c r="J43" s="294">
        <v>0</v>
      </c>
      <c r="K43" s="293">
        <f t="shared" si="11"/>
        <v>0</v>
      </c>
      <c r="L43" s="294">
        <v>0.1</v>
      </c>
      <c r="M43" s="127">
        <f t="shared" si="12"/>
        <v>3468.61</v>
      </c>
      <c r="N43" s="294"/>
      <c r="O43" s="293">
        <f t="shared" si="13"/>
        <v>0</v>
      </c>
      <c r="P43" s="127">
        <f t="shared" si="14"/>
        <v>38154.730000000003</v>
      </c>
      <c r="Q43" s="295">
        <f t="shared" si="15"/>
        <v>228928.38</v>
      </c>
      <c r="R43" s="109"/>
      <c r="S43" s="132"/>
      <c r="T43" s="132"/>
      <c r="U43" s="129"/>
    </row>
    <row r="44" spans="1:24" x14ac:dyDescent="0.25">
      <c r="A44" s="286">
        <v>21</v>
      </c>
      <c r="B44" s="135" t="s">
        <v>117</v>
      </c>
      <c r="C44" s="297"/>
      <c r="D44" s="297"/>
      <c r="E44" s="134"/>
      <c r="F44" s="134">
        <v>0.5</v>
      </c>
      <c r="G44" s="134">
        <v>1.96</v>
      </c>
      <c r="H44" s="127">
        <v>17697</v>
      </c>
      <c r="I44" s="127">
        <f t="shared" si="10"/>
        <v>34686.120000000003</v>
      </c>
      <c r="J44" s="294">
        <v>0</v>
      </c>
      <c r="K44" s="293">
        <f t="shared" si="11"/>
        <v>0</v>
      </c>
      <c r="L44" s="294">
        <v>0.1</v>
      </c>
      <c r="M44" s="127">
        <f t="shared" si="12"/>
        <v>1734.31</v>
      </c>
      <c r="N44" s="294"/>
      <c r="O44" s="293">
        <f t="shared" si="13"/>
        <v>0</v>
      </c>
      <c r="P44" s="127">
        <f t="shared" si="14"/>
        <v>19077.37</v>
      </c>
      <c r="Q44" s="295">
        <f t="shared" si="15"/>
        <v>114464.22</v>
      </c>
      <c r="R44" s="109"/>
      <c r="S44" s="132"/>
      <c r="T44" s="132"/>
      <c r="U44" s="129"/>
    </row>
    <row r="45" spans="1:24" x14ac:dyDescent="0.25">
      <c r="A45" s="286">
        <v>22</v>
      </c>
      <c r="B45" s="316" t="s">
        <v>119</v>
      </c>
      <c r="C45" s="314"/>
      <c r="D45" s="314"/>
      <c r="E45" s="155"/>
      <c r="F45" s="134">
        <v>3</v>
      </c>
      <c r="G45" s="134">
        <v>1.6</v>
      </c>
      <c r="H45" s="127">
        <v>17697</v>
      </c>
      <c r="I45" s="127">
        <f t="shared" si="10"/>
        <v>28315.200000000001</v>
      </c>
      <c r="J45" s="294">
        <v>0</v>
      </c>
      <c r="K45" s="293">
        <f t="shared" si="11"/>
        <v>0</v>
      </c>
      <c r="L45" s="294">
        <v>0.1</v>
      </c>
      <c r="M45" s="127">
        <f t="shared" si="12"/>
        <v>8494.56</v>
      </c>
      <c r="N45" s="294"/>
      <c r="O45" s="293">
        <v>25898.04</v>
      </c>
      <c r="P45" s="127">
        <f t="shared" si="14"/>
        <v>119338.2</v>
      </c>
      <c r="Q45" s="295">
        <f t="shared" si="15"/>
        <v>716029.2</v>
      </c>
      <c r="R45" s="109"/>
      <c r="S45" s="132"/>
      <c r="T45" s="132"/>
      <c r="U45" s="129"/>
    </row>
    <row r="46" spans="1:24" ht="16.5" thickBot="1" x14ac:dyDescent="0.3">
      <c r="A46" s="286">
        <v>23</v>
      </c>
      <c r="B46" s="317" t="s">
        <v>120</v>
      </c>
      <c r="C46" s="314"/>
      <c r="D46" s="314"/>
      <c r="E46" s="154"/>
      <c r="F46" s="134">
        <v>1</v>
      </c>
      <c r="G46" s="293">
        <v>1.71</v>
      </c>
      <c r="H46" s="127">
        <v>17697</v>
      </c>
      <c r="I46" s="127">
        <f t="shared" si="10"/>
        <v>30261.87</v>
      </c>
      <c r="J46" s="294">
        <v>0</v>
      </c>
      <c r="K46" s="293">
        <f t="shared" si="11"/>
        <v>0</v>
      </c>
      <c r="L46" s="294">
        <v>0.1</v>
      </c>
      <c r="M46" s="127">
        <f t="shared" si="12"/>
        <v>3026.19</v>
      </c>
      <c r="N46" s="294"/>
      <c r="O46" s="293">
        <f t="shared" si="13"/>
        <v>0</v>
      </c>
      <c r="P46" s="127">
        <f t="shared" si="14"/>
        <v>33288.06</v>
      </c>
      <c r="Q46" s="295">
        <f t="shared" si="15"/>
        <v>199728.36</v>
      </c>
      <c r="R46" s="296"/>
      <c r="S46" s="129"/>
      <c r="T46" s="132"/>
      <c r="U46" s="129"/>
    </row>
    <row r="47" spans="1:24" s="239" customFormat="1" ht="16.5" thickBot="1" x14ac:dyDescent="0.3">
      <c r="A47" s="538" t="s">
        <v>121</v>
      </c>
      <c r="B47" s="539"/>
      <c r="C47" s="318"/>
      <c r="D47" s="318"/>
      <c r="E47" s="319"/>
      <c r="F47" s="320">
        <f>SUM(F36:F46)</f>
        <v>11.5</v>
      </c>
      <c r="G47" s="321"/>
      <c r="H47" s="320"/>
      <c r="I47" s="320"/>
      <c r="J47" s="320"/>
      <c r="K47" s="320">
        <f>SUM(K36:K46)</f>
        <v>0</v>
      </c>
      <c r="L47" s="320"/>
      <c r="M47" s="320">
        <f>SUM(M36:M46)</f>
        <v>36367.350000000006</v>
      </c>
      <c r="N47" s="322"/>
      <c r="O47" s="320">
        <f>SUM(O36:O46)</f>
        <v>47134.44</v>
      </c>
      <c r="P47" s="320">
        <f>SUM(P37:P46)-0.77</f>
        <v>447174.38</v>
      </c>
      <c r="Q47" s="323">
        <f>SUM(Q36:Q46)-6</f>
        <v>2683044.8999999994</v>
      </c>
      <c r="R47" s="310"/>
      <c r="S47" s="179">
        <f>'[1]РАСЧЁТЫ по действующей системе'!W121</f>
        <v>381923.53</v>
      </c>
      <c r="T47" s="180">
        <f>P47-S47</f>
        <v>65250.849999999977</v>
      </c>
      <c r="U47" s="146" t="b">
        <f>IF(P47&lt;&gt;S47,FALSE,0)</f>
        <v>0</v>
      </c>
    </row>
    <row r="48" spans="1:24" s="239" customFormat="1" ht="16.5" thickBot="1" x14ac:dyDescent="0.3">
      <c r="A48" s="540" t="s">
        <v>162</v>
      </c>
      <c r="B48" s="541"/>
      <c r="C48" s="324"/>
      <c r="D48" s="324"/>
      <c r="E48" s="325"/>
      <c r="F48" s="326">
        <f>F23+F35+F47</f>
        <v>37.75</v>
      </c>
      <c r="G48" s="325"/>
      <c r="H48" s="325"/>
      <c r="I48" s="326">
        <f t="shared" ref="I48:L48" si="16">I23+I35+I47</f>
        <v>1765629.7900000003</v>
      </c>
      <c r="J48" s="326">
        <f t="shared" si="16"/>
        <v>0</v>
      </c>
      <c r="K48" s="326">
        <f t="shared" si="16"/>
        <v>0</v>
      </c>
      <c r="L48" s="326">
        <f t="shared" si="16"/>
        <v>0</v>
      </c>
      <c r="M48" s="326">
        <f>M23+M35+M47</f>
        <v>168740.97</v>
      </c>
      <c r="N48" s="327"/>
      <c r="O48" s="326">
        <f>O23+O35+O47</f>
        <v>241359.02000000002</v>
      </c>
      <c r="P48" s="330">
        <f>P23+P35+P47</f>
        <v>2211477.2499999995</v>
      </c>
      <c r="Q48" s="325">
        <f>Q23+Q35+Q47</f>
        <v>13268862.119999997</v>
      </c>
      <c r="R48" s="328"/>
    </row>
    <row r="49" spans="1:21" x14ac:dyDescent="0.25">
      <c r="A49" s="109"/>
      <c r="B49" s="329"/>
      <c r="C49" s="329"/>
      <c r="D49" s="329"/>
      <c r="E49" s="109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Q49" s="109"/>
      <c r="R49" s="109"/>
      <c r="S49" s="515" t="s">
        <v>132</v>
      </c>
      <c r="T49" s="187" t="s">
        <v>163</v>
      </c>
      <c r="U49" s="187" t="s">
        <v>164</v>
      </c>
    </row>
    <row r="50" spans="1:21" x14ac:dyDescent="0.25">
      <c r="B50" s="102" t="s">
        <v>40</v>
      </c>
      <c r="C50" s="102"/>
      <c r="D50" s="102"/>
      <c r="E50" s="238"/>
      <c r="F50" s="238"/>
      <c r="G50" s="238"/>
      <c r="H50" s="144"/>
      <c r="I50" s="524" t="s">
        <v>263</v>
      </c>
      <c r="J50" s="524"/>
      <c r="K50" s="524"/>
      <c r="L50" s="524"/>
      <c r="M50" s="524"/>
      <c r="N50" s="524"/>
      <c r="O50" s="524"/>
      <c r="P50" s="189"/>
      <c r="S50" s="515"/>
      <c r="T50" s="190">
        <f>'[1]РАСЧЁТЫ по действующей системе'!AE128</f>
        <v>48.25</v>
      </c>
      <c r="U50" s="190">
        <f>'[1]РАСЧЁТЫ по действующей системе'!AF128</f>
        <v>2216102.59</v>
      </c>
    </row>
    <row r="51" spans="1:21" x14ac:dyDescent="0.25">
      <c r="F51" s="239" t="s">
        <v>128</v>
      </c>
      <c r="I51" s="525" t="s">
        <v>129</v>
      </c>
      <c r="J51" s="525"/>
      <c r="K51" s="525"/>
      <c r="L51" s="525"/>
      <c r="M51" s="525"/>
      <c r="N51" s="525"/>
      <c r="O51" s="525"/>
      <c r="P51" s="189"/>
      <c r="S51" s="191"/>
      <c r="T51" s="192"/>
      <c r="U51" s="192"/>
    </row>
    <row r="52" spans="1:21" x14ac:dyDescent="0.25">
      <c r="N52" s="193"/>
      <c r="P52" s="189"/>
      <c r="Q52" s="130"/>
      <c r="S52" s="132"/>
      <c r="T52" s="132"/>
      <c r="U52" s="132"/>
    </row>
    <row r="53" spans="1:21" x14ac:dyDescent="0.25">
      <c r="A53" s="132"/>
      <c r="P53" s="189"/>
      <c r="S53" s="515" t="s">
        <v>132</v>
      </c>
      <c r="T53" s="187" t="s">
        <v>166</v>
      </c>
      <c r="U53" s="187" t="s">
        <v>167</v>
      </c>
    </row>
    <row r="54" spans="1:21" x14ac:dyDescent="0.25">
      <c r="A54" s="132"/>
      <c r="N54" s="193"/>
      <c r="S54" s="515"/>
      <c r="T54" s="190">
        <f>F48</f>
        <v>37.75</v>
      </c>
      <c r="U54" s="190">
        <f>P48</f>
        <v>2211477.2499999995</v>
      </c>
    </row>
    <row r="55" spans="1:21" s="195" customFormat="1" x14ac:dyDescent="0.25">
      <c r="A55" s="194"/>
      <c r="B55" s="516"/>
      <c r="C55" s="516"/>
      <c r="D55" s="516"/>
      <c r="E55" s="517"/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</row>
    <row r="56" spans="1:21" x14ac:dyDescent="0.25">
      <c r="A56" s="132"/>
      <c r="S56" s="515" t="s">
        <v>134</v>
      </c>
      <c r="T56" s="187" t="s">
        <v>168</v>
      </c>
      <c r="U56" s="187" t="s">
        <v>168</v>
      </c>
    </row>
    <row r="57" spans="1:21" s="195" customFormat="1" x14ac:dyDescent="0.25">
      <c r="A57" s="194"/>
      <c r="B57" s="516"/>
      <c r="C57" s="516"/>
      <c r="D57" s="516"/>
      <c r="E57" s="517"/>
      <c r="F57" s="517"/>
      <c r="G57" s="517"/>
      <c r="H57" s="517"/>
      <c r="I57" s="517"/>
      <c r="J57" s="517"/>
      <c r="K57" s="517"/>
      <c r="L57" s="517"/>
      <c r="M57" s="517"/>
      <c r="N57" s="196"/>
      <c r="O57" s="196"/>
      <c r="P57" s="197"/>
      <c r="S57" s="515"/>
      <c r="T57" s="190">
        <f>T50-T54</f>
        <v>10.5</v>
      </c>
      <c r="U57" s="190">
        <f>U50-U54</f>
        <v>4625.3400000003166</v>
      </c>
    </row>
    <row r="58" spans="1:21" x14ac:dyDescent="0.25">
      <c r="A58" s="132"/>
    </row>
    <row r="59" spans="1:21" x14ac:dyDescent="0.25">
      <c r="M59" s="198"/>
    </row>
  </sheetData>
  <mergeCells count="44">
    <mergeCell ref="A12:Q12"/>
    <mergeCell ref="G1:Q1"/>
    <mergeCell ref="B2:E2"/>
    <mergeCell ref="G2:Q2"/>
    <mergeCell ref="G3:N3"/>
    <mergeCell ref="I4:Q4"/>
    <mergeCell ref="F6:Q6"/>
    <mergeCell ref="G7:Q7"/>
    <mergeCell ref="B9:Q9"/>
    <mergeCell ref="A10:Q10"/>
    <mergeCell ref="A11:Q11"/>
    <mergeCell ref="I5:Q5"/>
    <mergeCell ref="H14:H15"/>
    <mergeCell ref="I14:I15"/>
    <mergeCell ref="J14:K14"/>
    <mergeCell ref="L14:M14"/>
    <mergeCell ref="N14:O14"/>
    <mergeCell ref="A23:B23"/>
    <mergeCell ref="A35:B35"/>
    <mergeCell ref="A47:B47"/>
    <mergeCell ref="A48:B48"/>
    <mergeCell ref="G14:G15"/>
    <mergeCell ref="A14:A15"/>
    <mergeCell ref="B14:B15"/>
    <mergeCell ref="C14:C15"/>
    <mergeCell ref="D14:D15"/>
    <mergeCell ref="E14:E15"/>
    <mergeCell ref="F14:F15"/>
    <mergeCell ref="T16:AC16"/>
    <mergeCell ref="U17:AC17"/>
    <mergeCell ref="S49:S50"/>
    <mergeCell ref="P14:P15"/>
    <mergeCell ref="Q14:Q15"/>
    <mergeCell ref="W12:AC12"/>
    <mergeCell ref="U13:V13"/>
    <mergeCell ref="W13:AC13"/>
    <mergeCell ref="W14:AC14"/>
    <mergeCell ref="U15:AC15"/>
    <mergeCell ref="S53:S54"/>
    <mergeCell ref="B55:Q55"/>
    <mergeCell ref="S56:S57"/>
    <mergeCell ref="B57:M57"/>
    <mergeCell ref="I50:O50"/>
    <mergeCell ref="I51:O5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штатка на 1.09</vt:lpstr>
      <vt:lpstr>точная</vt:lpstr>
      <vt:lpstr>штатка на 01 сентября</vt:lpstr>
      <vt:lpstr>расч к штатке на 1 сен 2016 г</vt:lpstr>
      <vt:lpstr>Лист3</vt:lpstr>
      <vt:lpstr>расч к штатке на 1 янв 2017 (2</vt:lpstr>
      <vt:lpstr>штатка на 1 янв 2017 г. (2)</vt:lpstr>
      <vt:lpstr>Лист1</vt:lpstr>
      <vt:lpstr>штатка на 1 июня  2017 г.</vt:lpstr>
      <vt:lpstr>расч к штатке на 1 июня 2017 г.</vt:lpstr>
      <vt:lpstr>штатка на 01 сентября 2017</vt:lpstr>
      <vt:lpstr>расч к штатке на 1 сентября 20</vt:lpstr>
      <vt:lpstr>сент2018</vt:lpstr>
      <vt:lpstr> сентябрь 2019</vt:lpstr>
      <vt:lpstr>январь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2021-02-05T08:57:49Z</dcterms:modified>
</cp:coreProperties>
</file>