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M9" i="1"/>
  <c r="AN9"/>
  <c r="AI10"/>
  <c r="AJ10"/>
  <c r="AI11"/>
  <c r="AJ11"/>
  <c r="AI12"/>
  <c r="AJ12"/>
  <c r="AJ13"/>
  <c r="AN13"/>
  <c r="AM27"/>
  <c r="AN27"/>
  <c r="AI71"/>
  <c r="AJ71"/>
  <c r="AM71"/>
  <c r="AN71"/>
  <c r="AO71"/>
  <c r="AG72"/>
  <c r="AJ72"/>
  <c r="AK72"/>
  <c r="AN72"/>
  <c r="AI75"/>
  <c r="AJ75"/>
  <c r="AI81"/>
  <c r="AJ81"/>
  <c r="AI82"/>
  <c r="AJ82"/>
  <c r="AI83"/>
  <c r="AJ83"/>
  <c r="AI84"/>
  <c r="AJ84"/>
  <c r="AI85"/>
  <c r="AJ85"/>
  <c r="AI86"/>
  <c r="AJ86"/>
  <c r="AI87"/>
  <c r="AJ87"/>
  <c r="AI88"/>
  <c r="AJ88"/>
  <c r="AI89"/>
  <c r="AJ89"/>
  <c r="AI90"/>
  <c r="AJ90"/>
  <c r="AI91"/>
  <c r="AJ91"/>
  <c r="AI92"/>
  <c r="AJ92"/>
  <c r="AI93"/>
  <c r="AJ93"/>
  <c r="AI94"/>
  <c r="AJ94"/>
  <c r="AI95"/>
  <c r="AJ95"/>
  <c r="AI96"/>
  <c r="AJ96"/>
  <c r="AI97"/>
  <c r="AJ97"/>
  <c r="AI98"/>
  <c r="AI99"/>
  <c r="AJ101"/>
  <c r="AN101"/>
  <c r="AO101"/>
  <c r="AJ102"/>
  <c r="AN102"/>
  <c r="AN106"/>
  <c r="O102"/>
  <c r="N102"/>
  <c r="M101"/>
  <c r="T99"/>
  <c r="P99"/>
  <c r="T98"/>
  <c r="P98"/>
  <c r="U98" s="1"/>
  <c r="AA97"/>
  <c r="T97"/>
  <c r="P97"/>
  <c r="T96"/>
  <c r="P96"/>
  <c r="AA96" s="1"/>
  <c r="T95"/>
  <c r="Q95"/>
  <c r="P95"/>
  <c r="AA95" s="1"/>
  <c r="T94"/>
  <c r="Q94"/>
  <c r="P94"/>
  <c r="AA94" s="1"/>
  <c r="T93"/>
  <c r="Q93"/>
  <c r="P93"/>
  <c r="U93" s="1"/>
  <c r="AD93" s="1"/>
  <c r="AK93" s="1"/>
  <c r="T92"/>
  <c r="Q92"/>
  <c r="P92"/>
  <c r="T91"/>
  <c r="Q91"/>
  <c r="P91"/>
  <c r="U91" s="1"/>
  <c r="AD91" s="1"/>
  <c r="AK91" s="1"/>
  <c r="T90"/>
  <c r="Q90"/>
  <c r="P90"/>
  <c r="AA89"/>
  <c r="T89"/>
  <c r="Q89"/>
  <c r="P89"/>
  <c r="T88"/>
  <c r="P88"/>
  <c r="AA87"/>
  <c r="T87"/>
  <c r="Q87"/>
  <c r="P87"/>
  <c r="AA86"/>
  <c r="T86"/>
  <c r="P86"/>
  <c r="AA85"/>
  <c r="T85"/>
  <c r="Q85"/>
  <c r="P85"/>
  <c r="AA84"/>
  <c r="T84"/>
  <c r="Q84"/>
  <c r="P84"/>
  <c r="AA83"/>
  <c r="T83"/>
  <c r="Q83"/>
  <c r="P83"/>
  <c r="Q82"/>
  <c r="P82"/>
  <c r="T81"/>
  <c r="Q81"/>
  <c r="P81"/>
  <c r="T80"/>
  <c r="P80"/>
  <c r="T79"/>
  <c r="P79"/>
  <c r="AA78"/>
  <c r="P78"/>
  <c r="AA77"/>
  <c r="T77"/>
  <c r="T78" s="1"/>
  <c r="P77"/>
  <c r="AA76"/>
  <c r="T76"/>
  <c r="P76"/>
  <c r="AA75"/>
  <c r="AA101" s="1"/>
  <c r="T75"/>
  <c r="Q75"/>
  <c r="Q101" s="1"/>
  <c r="P75"/>
  <c r="T74"/>
  <c r="P74"/>
  <c r="T73"/>
  <c r="P73"/>
  <c r="Z72"/>
  <c r="Y72"/>
  <c r="M72"/>
  <c r="AE71"/>
  <c r="AF71" s="1"/>
  <c r="AD70"/>
  <c r="AA70"/>
  <c r="AA69"/>
  <c r="T69"/>
  <c r="P69"/>
  <c r="AA68"/>
  <c r="T68"/>
  <c r="P68"/>
  <c r="AA67"/>
  <c r="T67"/>
  <c r="P67"/>
  <c r="AA66"/>
  <c r="T66"/>
  <c r="P66"/>
  <c r="AA65"/>
  <c r="T65"/>
  <c r="P65"/>
  <c r="AA64"/>
  <c r="T64"/>
  <c r="P64"/>
  <c r="AA63"/>
  <c r="T63"/>
  <c r="P63"/>
  <c r="AA62"/>
  <c r="T62"/>
  <c r="P62"/>
  <c r="AA61"/>
  <c r="T61"/>
  <c r="P61"/>
  <c r="AA60"/>
  <c r="T60"/>
  <c r="P60"/>
  <c r="AA59"/>
  <c r="T59"/>
  <c r="P59"/>
  <c r="AD58"/>
  <c r="AB57"/>
  <c r="T57"/>
  <c r="P57"/>
  <c r="S57" s="1"/>
  <c r="AB56"/>
  <c r="T56"/>
  <c r="P56"/>
  <c r="S56" s="1"/>
  <c r="AB55"/>
  <c r="T55"/>
  <c r="P55"/>
  <c r="S55" s="1"/>
  <c r="AB54"/>
  <c r="T54"/>
  <c r="P54"/>
  <c r="S54" s="1"/>
  <c r="AB53"/>
  <c r="T53"/>
  <c r="P53"/>
  <c r="S53" s="1"/>
  <c r="AB52"/>
  <c r="T52"/>
  <c r="S52"/>
  <c r="P52"/>
  <c r="AB51"/>
  <c r="T51"/>
  <c r="P51"/>
  <c r="S51" s="1"/>
  <c r="AB50"/>
  <c r="T50"/>
  <c r="P50"/>
  <c r="S50" s="1"/>
  <c r="AB49"/>
  <c r="T49"/>
  <c r="P49"/>
  <c r="S49" s="1"/>
  <c r="AB48"/>
  <c r="T48"/>
  <c r="P48"/>
  <c r="S48" s="1"/>
  <c r="AB47"/>
  <c r="T47"/>
  <c r="P47"/>
  <c r="S47" s="1"/>
  <c r="AB46"/>
  <c r="T46"/>
  <c r="P46"/>
  <c r="S46" s="1"/>
  <c r="AB45"/>
  <c r="T45"/>
  <c r="P45"/>
  <c r="S45" s="1"/>
  <c r="AC44"/>
  <c r="AB44"/>
  <c r="T44"/>
  <c r="P44"/>
  <c r="S44" s="1"/>
  <c r="AB43"/>
  <c r="T43"/>
  <c r="S43"/>
  <c r="P43"/>
  <c r="AB42"/>
  <c r="T42"/>
  <c r="P42"/>
  <c r="S42" s="1"/>
  <c r="AB41"/>
  <c r="T41"/>
  <c r="P41"/>
  <c r="S41" s="1"/>
  <c r="AB40"/>
  <c r="T40"/>
  <c r="P40"/>
  <c r="S40" s="1"/>
  <c r="AB39"/>
  <c r="T39"/>
  <c r="P39"/>
  <c r="S39" s="1"/>
  <c r="AB38"/>
  <c r="T38"/>
  <c r="P38"/>
  <c r="S38" s="1"/>
  <c r="AB37"/>
  <c r="T37"/>
  <c r="P37"/>
  <c r="S37" s="1"/>
  <c r="AB36"/>
  <c r="T36"/>
  <c r="P36"/>
  <c r="S36" s="1"/>
  <c r="AB35"/>
  <c r="T35"/>
  <c r="Q35"/>
  <c r="P35"/>
  <c r="S35" s="1"/>
  <c r="AB33"/>
  <c r="T33"/>
  <c r="P33"/>
  <c r="S33" s="1"/>
  <c r="AB32"/>
  <c r="T32"/>
  <c r="P32"/>
  <c r="S32" s="1"/>
  <c r="AB31"/>
  <c r="T31"/>
  <c r="P31"/>
  <c r="S31" s="1"/>
  <c r="AC30"/>
  <c r="AC72" s="1"/>
  <c r="AC102" s="1"/>
  <c r="AB30"/>
  <c r="T30"/>
  <c r="P30"/>
  <c r="S30" s="1"/>
  <c r="AB29"/>
  <c r="T29"/>
  <c r="P29"/>
  <c r="S29" s="1"/>
  <c r="AB28"/>
  <c r="T28"/>
  <c r="P28"/>
  <c r="S28" s="1"/>
  <c r="AB27"/>
  <c r="T27"/>
  <c r="Q27"/>
  <c r="P27"/>
  <c r="S27" s="1"/>
  <c r="T26"/>
  <c r="W26" s="1"/>
  <c r="P26"/>
  <c r="T25"/>
  <c r="W25" s="1"/>
  <c r="P25"/>
  <c r="T24"/>
  <c r="W24" s="1"/>
  <c r="P24"/>
  <c r="T23"/>
  <c r="W23" s="1"/>
  <c r="P23"/>
  <c r="AB22"/>
  <c r="T22"/>
  <c r="P22"/>
  <c r="S22" s="1"/>
  <c r="AB21"/>
  <c r="T21"/>
  <c r="P21"/>
  <c r="S21" s="1"/>
  <c r="AB20"/>
  <c r="T20"/>
  <c r="P20"/>
  <c r="S20" s="1"/>
  <c r="AB19"/>
  <c r="P19"/>
  <c r="S19" s="1"/>
  <c r="U19" s="1"/>
  <c r="AB18"/>
  <c r="T18"/>
  <c r="P18"/>
  <c r="S18" s="1"/>
  <c r="AB17"/>
  <c r="P17"/>
  <c r="S17" s="1"/>
  <c r="AB16"/>
  <c r="T16"/>
  <c r="P16"/>
  <c r="S16" s="1"/>
  <c r="AB15"/>
  <c r="T15"/>
  <c r="Q15"/>
  <c r="P15"/>
  <c r="S15" s="1"/>
  <c r="AB14"/>
  <c r="T14"/>
  <c r="T72" s="1"/>
  <c r="Q14"/>
  <c r="Q72" s="1"/>
  <c r="P14"/>
  <c r="P72" s="1"/>
  <c r="AA13"/>
  <c r="Z13"/>
  <c r="Y13"/>
  <c r="Y102" s="1"/>
  <c r="M13"/>
  <c r="M102" s="1"/>
  <c r="AN108" s="1"/>
  <c r="AN111" s="1"/>
  <c r="Q12"/>
  <c r="P12"/>
  <c r="U12" s="1"/>
  <c r="AD12" s="1"/>
  <c r="AK12" s="1"/>
  <c r="Q11"/>
  <c r="Q13" s="1"/>
  <c r="P11"/>
  <c r="U11" s="1"/>
  <c r="AD11" s="1"/>
  <c r="AK11" s="1"/>
  <c r="P10"/>
  <c r="U10" s="1"/>
  <c r="AB9"/>
  <c r="T9"/>
  <c r="P9"/>
  <c r="P13" s="1"/>
  <c r="AB72" l="1"/>
  <c r="AB102" s="1"/>
  <c r="U23"/>
  <c r="AA72"/>
  <c r="AA102" s="1"/>
  <c r="S14"/>
  <c r="U24"/>
  <c r="U25"/>
  <c r="U26"/>
  <c r="U73"/>
  <c r="U74"/>
  <c r="AD74" s="1"/>
  <c r="U82"/>
  <c r="AD82" s="1"/>
  <c r="AE11"/>
  <c r="AF11" s="1"/>
  <c r="AE12"/>
  <c r="AF12" s="1"/>
  <c r="U15"/>
  <c r="V15"/>
  <c r="W15" s="1"/>
  <c r="V17"/>
  <c r="W17" s="1"/>
  <c r="U17"/>
  <c r="U18"/>
  <c r="V18"/>
  <c r="W18" s="1"/>
  <c r="U21"/>
  <c r="AD21"/>
  <c r="V21"/>
  <c r="W21" s="1"/>
  <c r="AD30"/>
  <c r="U30"/>
  <c r="V30"/>
  <c r="W30" s="1"/>
  <c r="U31"/>
  <c r="AD31"/>
  <c r="V31"/>
  <c r="W31" s="1"/>
  <c r="U38"/>
  <c r="V38"/>
  <c r="W38" s="1"/>
  <c r="U42"/>
  <c r="AD42" s="1"/>
  <c r="V42"/>
  <c r="W42" s="1"/>
  <c r="U47"/>
  <c r="V47"/>
  <c r="W47" s="1"/>
  <c r="U51"/>
  <c r="AD51" s="1"/>
  <c r="V51"/>
  <c r="W51" s="1"/>
  <c r="U55"/>
  <c r="V55"/>
  <c r="W55" s="1"/>
  <c r="AE91"/>
  <c r="AF91" s="1"/>
  <c r="AE93"/>
  <c r="AF93" s="1"/>
  <c r="R10"/>
  <c r="AD10" s="1"/>
  <c r="AK10" s="1"/>
  <c r="AK13" s="1"/>
  <c r="AD23"/>
  <c r="X23"/>
  <c r="AD24"/>
  <c r="X24"/>
  <c r="AD25"/>
  <c r="X25"/>
  <c r="AD26"/>
  <c r="X26"/>
  <c r="U27"/>
  <c r="AD27"/>
  <c r="AO27" s="1"/>
  <c r="AO72" s="1"/>
  <c r="V27"/>
  <c r="W27" s="1"/>
  <c r="U28"/>
  <c r="V28"/>
  <c r="W28" s="1"/>
  <c r="U33"/>
  <c r="AD33" s="1"/>
  <c r="V33"/>
  <c r="W33" s="1"/>
  <c r="U36"/>
  <c r="V36"/>
  <c r="W36" s="1"/>
  <c r="U40"/>
  <c r="AD40" s="1"/>
  <c r="V40"/>
  <c r="W40" s="1"/>
  <c r="U44"/>
  <c r="AD44" s="1"/>
  <c r="V44"/>
  <c r="W44" s="1"/>
  <c r="U45"/>
  <c r="AD45" s="1"/>
  <c r="V45"/>
  <c r="W45" s="1"/>
  <c r="U49"/>
  <c r="V49"/>
  <c r="W49" s="1"/>
  <c r="U53"/>
  <c r="AD53" s="1"/>
  <c r="V53"/>
  <c r="W53" s="1"/>
  <c r="U57"/>
  <c r="V57"/>
  <c r="W57" s="1"/>
  <c r="AD73"/>
  <c r="Q102"/>
  <c r="R11"/>
  <c r="R12"/>
  <c r="U14"/>
  <c r="AD14" s="1"/>
  <c r="R15"/>
  <c r="U16"/>
  <c r="V19"/>
  <c r="W19" s="1"/>
  <c r="X19" s="1"/>
  <c r="AD19"/>
  <c r="U20"/>
  <c r="U22"/>
  <c r="R27"/>
  <c r="U29"/>
  <c r="U32"/>
  <c r="U35"/>
  <c r="AD35" s="1"/>
  <c r="U37"/>
  <c r="U39"/>
  <c r="U41"/>
  <c r="U43"/>
  <c r="AD43" s="1"/>
  <c r="U46"/>
  <c r="U48"/>
  <c r="U50"/>
  <c r="U52"/>
  <c r="AD52" s="1"/>
  <c r="U54"/>
  <c r="U56"/>
  <c r="U59"/>
  <c r="AD59" s="1"/>
  <c r="U61"/>
  <c r="AD61" s="1"/>
  <c r="U63"/>
  <c r="AD63" s="1"/>
  <c r="U65"/>
  <c r="AD65" s="1"/>
  <c r="U67"/>
  <c r="AD67" s="1"/>
  <c r="U69"/>
  <c r="AD69" s="1"/>
  <c r="S72"/>
  <c r="U77"/>
  <c r="AD77" s="1"/>
  <c r="U79"/>
  <c r="AD79" s="1"/>
  <c r="U80"/>
  <c r="AD80" s="1"/>
  <c r="U81"/>
  <c r="AD81" s="1"/>
  <c r="AK81" s="1"/>
  <c r="U87"/>
  <c r="AD87" s="1"/>
  <c r="AK87" s="1"/>
  <c r="U88"/>
  <c r="AD88" s="1"/>
  <c r="U89"/>
  <c r="R89" s="1"/>
  <c r="U90"/>
  <c r="AD90" s="1"/>
  <c r="AK90" s="1"/>
  <c r="U92"/>
  <c r="R92" s="1"/>
  <c r="U94"/>
  <c r="R94" s="1"/>
  <c r="U95"/>
  <c r="R95" s="1"/>
  <c r="U96"/>
  <c r="AD96" s="1"/>
  <c r="AD98"/>
  <c r="U99"/>
  <c r="AD99" s="1"/>
  <c r="P101"/>
  <c r="P102" s="1"/>
  <c r="S9"/>
  <c r="R14"/>
  <c r="V14"/>
  <c r="V16"/>
  <c r="W16" s="1"/>
  <c r="V20"/>
  <c r="W20" s="1"/>
  <c r="V22"/>
  <c r="W22" s="1"/>
  <c r="V29"/>
  <c r="W29" s="1"/>
  <c r="V32"/>
  <c r="W32" s="1"/>
  <c r="V35"/>
  <c r="W35" s="1"/>
  <c r="V37"/>
  <c r="W37" s="1"/>
  <c r="V39"/>
  <c r="W39" s="1"/>
  <c r="V41"/>
  <c r="W41" s="1"/>
  <c r="V43"/>
  <c r="W43" s="1"/>
  <c r="V46"/>
  <c r="W46" s="1"/>
  <c r="V48"/>
  <c r="W48" s="1"/>
  <c r="V50"/>
  <c r="W50" s="1"/>
  <c r="V52"/>
  <c r="W52" s="1"/>
  <c r="V54"/>
  <c r="W54" s="1"/>
  <c r="V56"/>
  <c r="W56" s="1"/>
  <c r="U60"/>
  <c r="AD60" s="1"/>
  <c r="U62"/>
  <c r="AD62" s="1"/>
  <c r="U64"/>
  <c r="AD64" s="1"/>
  <c r="U66"/>
  <c r="AD66" s="1"/>
  <c r="U68"/>
  <c r="AD68" s="1"/>
  <c r="U75"/>
  <c r="U76"/>
  <c r="AD76" s="1"/>
  <c r="U78"/>
  <c r="AD78" s="1"/>
  <c r="R82"/>
  <c r="U83"/>
  <c r="AD83" s="1"/>
  <c r="AK83" s="1"/>
  <c r="U84"/>
  <c r="R84" s="1"/>
  <c r="U85"/>
  <c r="AD85" s="1"/>
  <c r="AK85" s="1"/>
  <c r="U86"/>
  <c r="AD86" s="1"/>
  <c r="R91"/>
  <c r="R93"/>
  <c r="U97"/>
  <c r="AD97" s="1"/>
  <c r="AK97" s="1"/>
  <c r="AD95" l="1"/>
  <c r="AK95" s="1"/>
  <c r="AE82"/>
  <c r="AF82" s="1"/>
  <c r="AK82"/>
  <c r="U101"/>
  <c r="R87"/>
  <c r="R81"/>
  <c r="R75"/>
  <c r="AE85"/>
  <c r="AF85" s="1"/>
  <c r="AE83"/>
  <c r="AF83" s="1"/>
  <c r="AE90"/>
  <c r="AF90" s="1"/>
  <c r="AE87"/>
  <c r="AF87" s="1"/>
  <c r="AE81"/>
  <c r="AF81" s="1"/>
  <c r="AE35"/>
  <c r="AF35" s="1"/>
  <c r="AE14"/>
  <c r="AF14" s="1"/>
  <c r="AE10"/>
  <c r="AF10" s="1"/>
  <c r="V72"/>
  <c r="W14"/>
  <c r="W72" s="1"/>
  <c r="U9"/>
  <c r="S13"/>
  <c r="S102" s="1"/>
  <c r="V9"/>
  <c r="AE95"/>
  <c r="AF95" s="1"/>
  <c r="AE27"/>
  <c r="AF27" s="1"/>
  <c r="X54"/>
  <c r="X50"/>
  <c r="X46"/>
  <c r="X41"/>
  <c r="X37"/>
  <c r="X32"/>
  <c r="X20"/>
  <c r="AD92"/>
  <c r="AK92" s="1"/>
  <c r="AD89"/>
  <c r="AK89" s="1"/>
  <c r="AD54"/>
  <c r="AD46"/>
  <c r="AD37"/>
  <c r="AD20"/>
  <c r="X57"/>
  <c r="X49"/>
  <c r="X36"/>
  <c r="X28"/>
  <c r="AD84"/>
  <c r="AK84" s="1"/>
  <c r="AD32"/>
  <c r="X55"/>
  <c r="X47"/>
  <c r="X38"/>
  <c r="X18"/>
  <c r="X15"/>
  <c r="X14"/>
  <c r="U72"/>
  <c r="R85"/>
  <c r="R83"/>
  <c r="AD94"/>
  <c r="AK94" s="1"/>
  <c r="R90"/>
  <c r="X56"/>
  <c r="X52"/>
  <c r="X48"/>
  <c r="X43"/>
  <c r="X39"/>
  <c r="X35"/>
  <c r="X29"/>
  <c r="X22"/>
  <c r="X16"/>
  <c r="AD75"/>
  <c r="AK75" s="1"/>
  <c r="AK101" s="1"/>
  <c r="AK102" s="1"/>
  <c r="AD50"/>
  <c r="AD41"/>
  <c r="AD29"/>
  <c r="AD16"/>
  <c r="AD57"/>
  <c r="X53"/>
  <c r="AD49"/>
  <c r="X45"/>
  <c r="X44"/>
  <c r="X40"/>
  <c r="AD36"/>
  <c r="X33"/>
  <c r="AD28"/>
  <c r="X27"/>
  <c r="AD56"/>
  <c r="AD48"/>
  <c r="AD39"/>
  <c r="R35"/>
  <c r="R72" s="1"/>
  <c r="AD22"/>
  <c r="AD55"/>
  <c r="X51"/>
  <c r="AD47"/>
  <c r="X42"/>
  <c r="AD38"/>
  <c r="X31"/>
  <c r="X30"/>
  <c r="X21"/>
  <c r="AD18"/>
  <c r="X17"/>
  <c r="AD17"/>
  <c r="AD15"/>
  <c r="AF72" l="1"/>
  <c r="R101"/>
  <c r="AD72"/>
  <c r="AE94"/>
  <c r="AF94" s="1"/>
  <c r="AE84"/>
  <c r="AF84" s="1"/>
  <c r="AE89"/>
  <c r="AF89" s="1"/>
  <c r="W9"/>
  <c r="W13" s="1"/>
  <c r="W102" s="1"/>
  <c r="V13"/>
  <c r="V102" s="1"/>
  <c r="AE75"/>
  <c r="AE92"/>
  <c r="AF92" s="1"/>
  <c r="U13"/>
  <c r="U102" s="1"/>
  <c r="X9"/>
  <c r="X13" s="1"/>
  <c r="R9"/>
  <c r="AZ9" s="1"/>
  <c r="X72"/>
  <c r="AD101"/>
  <c r="AE72"/>
  <c r="X102" l="1"/>
  <c r="AE101"/>
  <c r="AF75"/>
  <c r="AF101" s="1"/>
  <c r="R13"/>
  <c r="R102" s="1"/>
  <c r="AD9"/>
  <c r="AO9" s="1"/>
  <c r="AO13" s="1"/>
  <c r="AO102" s="1"/>
  <c r="AO106" s="1"/>
  <c r="AE9" l="1"/>
  <c r="AE13" s="1"/>
  <c r="AE102" s="1"/>
  <c r="AD13"/>
  <c r="AD102" s="1"/>
  <c r="AO108" s="1"/>
  <c r="AO111" s="1"/>
  <c r="AF9"/>
  <c r="AF13" s="1"/>
  <c r="AF102" s="1"/>
</calcChain>
</file>

<file path=xl/sharedStrings.xml><?xml version="1.0" encoding="utf-8"?>
<sst xmlns="http://schemas.openxmlformats.org/spreadsheetml/2006/main" count="738" uniqueCount="235">
  <si>
    <t xml:space="preserve"> Штатное расписание на 01 января  2021 года </t>
  </si>
  <si>
    <t>по КГКП "Дошкольная гимназия  №_6_ г.Павлодара" отдела образования города Павлодара управления  образования Павлодарской области</t>
  </si>
  <si>
    <t>Ф.И.О.</t>
  </si>
  <si>
    <t>Ставка</t>
  </si>
  <si>
    <t>Начислено</t>
  </si>
  <si>
    <t>№ п/п</t>
  </si>
  <si>
    <t>Должность</t>
  </si>
  <si>
    <t>Образование</t>
  </si>
  <si>
    <t>Стаж работы по специальности (лет,мес,дней) на 01.09.2020г.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</si>
  <si>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</si>
  <si>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</si>
  <si>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</si>
  <si>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</si>
  <si>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</si>
  <si>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</si>
  <si>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</si>
  <si>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</si>
  <si>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Категория</t>
  </si>
  <si>
    <t>Коэффициент</t>
  </si>
  <si>
    <t>Должностной оклад</t>
  </si>
  <si>
    <t>Сельские 25%</t>
  </si>
  <si>
    <t>За особые условия труда 10%</t>
  </si>
  <si>
    <t>Надбавка к ставке</t>
  </si>
  <si>
    <t>20% от БДО за  гимназию</t>
  </si>
  <si>
    <t>Доплата за пед.мастерство</t>
  </si>
  <si>
    <t>Месячный фонд заработной платы</t>
  </si>
  <si>
    <t>Месячный фонд заработной платы РБ</t>
  </si>
  <si>
    <t>Месячный фонд заработной платы МБ</t>
  </si>
  <si>
    <t>%</t>
  </si>
  <si>
    <t>Сумма</t>
  </si>
  <si>
    <t>рахница РБ</t>
  </si>
  <si>
    <t xml:space="preserve">10% РБ </t>
  </si>
  <si>
    <t>10% МБ</t>
  </si>
  <si>
    <t>% разделения</t>
  </si>
  <si>
    <t>Кожабаева Л. М.</t>
  </si>
  <si>
    <t>Заведующий</t>
  </si>
  <si>
    <t>высшее</t>
  </si>
  <si>
    <t>свыше 25 лет</t>
  </si>
  <si>
    <t>А</t>
  </si>
  <si>
    <t>А1</t>
  </si>
  <si>
    <t>3-1</t>
  </si>
  <si>
    <t>Акпанова А. К.</t>
  </si>
  <si>
    <t>Зам. зав. по хозяйственной работе</t>
  </si>
  <si>
    <t>14л1м</t>
  </si>
  <si>
    <t>А2</t>
  </si>
  <si>
    <t>Кохтаева СК</t>
  </si>
  <si>
    <t>Бухгалтер</t>
  </si>
  <si>
    <t>8л6м</t>
  </si>
  <si>
    <t>С</t>
  </si>
  <si>
    <t>2</t>
  </si>
  <si>
    <t>Шотова М.В.</t>
  </si>
  <si>
    <t>7л11м</t>
  </si>
  <si>
    <t>ИТОГО ПО АУП</t>
  </si>
  <si>
    <t>ИТОГО ПО АУП (Тех.персонал)</t>
  </si>
  <si>
    <t>ИТОГО ПО АУП (Администрация)</t>
  </si>
  <si>
    <t>Мухтаева Ж.А.</t>
  </si>
  <si>
    <t>Методист</t>
  </si>
  <si>
    <t>23л11м</t>
  </si>
  <si>
    <t>1</t>
  </si>
  <si>
    <t>В</t>
  </si>
  <si>
    <t>В3</t>
  </si>
  <si>
    <t>высшая</t>
  </si>
  <si>
    <t>Вакансия</t>
  </si>
  <si>
    <t>Методист по инновации</t>
  </si>
  <si>
    <t>Арыкпанова А</t>
  </si>
  <si>
    <t>Учитель рус.яз.и лит-ры</t>
  </si>
  <si>
    <t>24л3м</t>
  </si>
  <si>
    <t>В2</t>
  </si>
  <si>
    <t>4</t>
  </si>
  <si>
    <t>свыше 25</t>
  </si>
  <si>
    <t>Учитель анг.яз.</t>
  </si>
  <si>
    <t>Учитель ИЗО</t>
  </si>
  <si>
    <t>Преподаватель эстетики, режиссер</t>
  </si>
  <si>
    <t>Преподаватель әдебиеттану</t>
  </si>
  <si>
    <t>Хайлямова Н.А.</t>
  </si>
  <si>
    <t>Педагог-психолог</t>
  </si>
  <si>
    <t>24л00м</t>
  </si>
  <si>
    <t>1 категория</t>
  </si>
  <si>
    <t>Яблокова И.А</t>
  </si>
  <si>
    <t>Медицинская сестра</t>
  </si>
  <si>
    <t>среднее</t>
  </si>
  <si>
    <t>В4</t>
  </si>
  <si>
    <t>1Z</t>
  </si>
  <si>
    <t>Топко Ю.А</t>
  </si>
  <si>
    <t>Специалист по программному обеспечению</t>
  </si>
  <si>
    <t>23л2м</t>
  </si>
  <si>
    <t>Нургазинова Р.А</t>
  </si>
  <si>
    <t>Диетсестра</t>
  </si>
  <si>
    <t>4Z</t>
  </si>
  <si>
    <t>Тулешбаева А.</t>
  </si>
  <si>
    <t>Инструктор по физ.культуре</t>
  </si>
  <si>
    <t>5л10м</t>
  </si>
  <si>
    <t>3</t>
  </si>
  <si>
    <t>2 категория</t>
  </si>
  <si>
    <t>Омарова А.К</t>
  </si>
  <si>
    <t>Музыкальный руководитель</t>
  </si>
  <si>
    <t>4л8м</t>
  </si>
  <si>
    <t>Рымбекова А.М.</t>
  </si>
  <si>
    <t>Логопед-модератор</t>
  </si>
  <si>
    <t>1л5м</t>
  </si>
  <si>
    <t>Нургалиева Б.М.</t>
  </si>
  <si>
    <t>9л08м</t>
  </si>
  <si>
    <t>Балкибекова С.А.</t>
  </si>
  <si>
    <t>Хореограф</t>
  </si>
  <si>
    <t>1л08м</t>
  </si>
  <si>
    <t>Кабдул С.Б.</t>
  </si>
  <si>
    <t>2л9м</t>
  </si>
  <si>
    <t>Байдилова М. Ж.</t>
  </si>
  <si>
    <t>Воспитатель</t>
  </si>
  <si>
    <t>24л7м</t>
  </si>
  <si>
    <t>Аскарова А.К.</t>
  </si>
  <si>
    <t>11л0м</t>
  </si>
  <si>
    <t>Шапиева К.Б.</t>
  </si>
  <si>
    <t>Шотова А.К.</t>
  </si>
  <si>
    <t>13л8м</t>
  </si>
  <si>
    <t>Ибрагимова А.А</t>
  </si>
  <si>
    <t>Жумагожина Ж.Н.</t>
  </si>
  <si>
    <t>13л11м</t>
  </si>
  <si>
    <t>Нургалымова Д.К.</t>
  </si>
  <si>
    <t>12л10м</t>
  </si>
  <si>
    <t>Азнабаева А.Н.</t>
  </si>
  <si>
    <t>5л4м</t>
  </si>
  <si>
    <t>Ризадина Э.Р.</t>
  </si>
  <si>
    <t>8л11м</t>
  </si>
  <si>
    <t>Нурахметова А.С.</t>
  </si>
  <si>
    <t>Воспитатель-исследователь</t>
  </si>
  <si>
    <t>06л11м</t>
  </si>
  <si>
    <t>Оналбекова М.С.</t>
  </si>
  <si>
    <t>Ертисхан А.</t>
  </si>
  <si>
    <t>8л4м</t>
  </si>
  <si>
    <t>Успанова Г.Е.</t>
  </si>
  <si>
    <t>12л3м</t>
  </si>
  <si>
    <t>Бейсебаева Г.С</t>
  </si>
  <si>
    <t>19л02м</t>
  </si>
  <si>
    <t>Рымбекова</t>
  </si>
  <si>
    <t>Матай А.Ж.</t>
  </si>
  <si>
    <t>1л1м</t>
  </si>
  <si>
    <t>Кайшыбаева Н.Ж.</t>
  </si>
  <si>
    <t>5л0м</t>
  </si>
  <si>
    <t>Шекеева В.Б.</t>
  </si>
  <si>
    <t>10л3м</t>
  </si>
  <si>
    <t>Байгулова С.</t>
  </si>
  <si>
    <t>0л4м</t>
  </si>
  <si>
    <t>Ильясова А</t>
  </si>
  <si>
    <t>08л03м</t>
  </si>
  <si>
    <t>Сутбаева Р.Н.</t>
  </si>
  <si>
    <t>Помощник воспитателя</t>
  </si>
  <si>
    <t>24л09м</t>
  </si>
  <si>
    <t>D</t>
  </si>
  <si>
    <t>Тулеубаева М.Б.</t>
  </si>
  <si>
    <t>0л1м</t>
  </si>
  <si>
    <t>Омархан С</t>
  </si>
  <si>
    <t>9л4м</t>
  </si>
  <si>
    <t>Мусалимова М.К.</t>
  </si>
  <si>
    <t>5л1м</t>
  </si>
  <si>
    <t>Смаилова Б.К.</t>
  </si>
  <si>
    <t>1л4м</t>
  </si>
  <si>
    <t>Мусабекова Г.А.</t>
  </si>
  <si>
    <t>1л8м</t>
  </si>
  <si>
    <t>Мухамединова Айымгуль.Т</t>
  </si>
  <si>
    <t>8л0м</t>
  </si>
  <si>
    <t>Мухамединова Асемгуль.Т</t>
  </si>
  <si>
    <t>0л6м</t>
  </si>
  <si>
    <t>Рахимжанова Г.С.</t>
  </si>
  <si>
    <t xml:space="preserve">Шаримбекова </t>
  </si>
  <si>
    <t>Ботабаева</t>
  </si>
  <si>
    <t>0л3м</t>
  </si>
  <si>
    <t>ИТОГО ПО ОП (Тех.персонал)</t>
  </si>
  <si>
    <t>ИТОГО ПО ОП (Администрация)</t>
  </si>
  <si>
    <t>Шотова М.</t>
  </si>
  <si>
    <t>Секретарь</t>
  </si>
  <si>
    <t>рабочие</t>
  </si>
  <si>
    <t>Хайлямова Н.И</t>
  </si>
  <si>
    <t>0л 00м</t>
  </si>
  <si>
    <t>Алпасбай А</t>
  </si>
  <si>
    <t>Повар</t>
  </si>
  <si>
    <t>4л2м</t>
  </si>
  <si>
    <t>Нурмагамбетова С.Б.</t>
  </si>
  <si>
    <t>1л2м</t>
  </si>
  <si>
    <t>Шеф-повар</t>
  </si>
  <si>
    <t>00л4м</t>
  </si>
  <si>
    <t>Шуйтинов Б.</t>
  </si>
  <si>
    <t>Слесарь сантехник</t>
  </si>
  <si>
    <t>15л3м</t>
  </si>
  <si>
    <t>Шотова Б.Ш.</t>
  </si>
  <si>
    <t>Кладовщик</t>
  </si>
  <si>
    <t>10л0м</t>
  </si>
  <si>
    <t>Муканова К.Н.</t>
  </si>
  <si>
    <t>Кастелянша</t>
  </si>
  <si>
    <t>11л03м</t>
  </si>
  <si>
    <t>Швея</t>
  </si>
  <si>
    <t>18л07м</t>
  </si>
  <si>
    <t>Сидорова С.А.</t>
  </si>
  <si>
    <t>Оператор стиральных машин</t>
  </si>
  <si>
    <t>17л5м</t>
  </si>
  <si>
    <t>7л00м</t>
  </si>
  <si>
    <t>Акпанова А.К.</t>
  </si>
  <si>
    <t>7л04м</t>
  </si>
  <si>
    <t>Букурова Г.С.</t>
  </si>
  <si>
    <t>Уборщик служебных помещений</t>
  </si>
  <si>
    <t>1л03м</t>
  </si>
  <si>
    <t>Рахметова Б.</t>
  </si>
  <si>
    <t>Подсобный рабочий</t>
  </si>
  <si>
    <t>00л03м</t>
  </si>
  <si>
    <t>07л04м</t>
  </si>
  <si>
    <t>Арынов Б</t>
  </si>
  <si>
    <t>Рабочий по обслуживанию здания</t>
  </si>
  <si>
    <t>06л03м</t>
  </si>
  <si>
    <t>Мухтаев А.Т.</t>
  </si>
  <si>
    <t>01л02м</t>
  </si>
  <si>
    <t>Оспанбеков Б.Т</t>
  </si>
  <si>
    <t>01л07м</t>
  </si>
  <si>
    <t>Суюшпаев Б</t>
  </si>
  <si>
    <t>00л01м</t>
  </si>
  <si>
    <t>Сторож</t>
  </si>
  <si>
    <t>07л07м</t>
  </si>
  <si>
    <t>Жекебай Т.</t>
  </si>
  <si>
    <t>Дворник</t>
  </si>
  <si>
    <t>00л04м</t>
  </si>
  <si>
    <t>00л06м</t>
  </si>
  <si>
    <t>ИТОГО ПО МОП</t>
  </si>
  <si>
    <t>ИТОГО ПО МОП (Тех.персонал)</t>
  </si>
  <si>
    <t>ИТОГО ПО МОП (Админстрация)</t>
  </si>
  <si>
    <t>ВСЕГО ПО АУП,УВП,МОП</t>
  </si>
  <si>
    <t>ВСЕГО ПО АУП,УВП,МОП(тех.персонал )</t>
  </si>
  <si>
    <t>ВСЕГО ПО АУП,УВП,МОП(Админстрация)</t>
  </si>
  <si>
    <t>Руководитель</t>
  </si>
  <si>
    <t>(подпись)</t>
  </si>
  <si>
    <t>(расшифровка подписи)</t>
  </si>
  <si>
    <t>Итого</t>
  </si>
  <si>
    <t>Ставок</t>
  </si>
  <si>
    <t>Кохтаева С.К.</t>
  </si>
  <si>
    <t>Контроль</t>
  </si>
  <si>
    <t>М.П.</t>
  </si>
  <si>
    <t>Разница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</si>
</sst>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.0000"/>
    <numFmt numFmtId="165" formatCode="_-* #,##0.00_р_._-;\-* #,##0.00_р_._-;_-* &quot;-&quot;??_р_._-;_-@_-"/>
    <numFmt numFmtId="166" formatCode="#,##0.000_ ;\-#,##0.000\ "/>
    <numFmt numFmtId="167" formatCode="0.000"/>
    <numFmt numFmtId="168" formatCode="_-* #,##0.000_р_._-;\-* #,##0.000_р_._-;_-* &quot;-&quot;???_р_._-;_-@_-"/>
    <numFmt numFmtId="169" formatCode="_-* #,##0.000\ _₽_-;\-* #,##0.000\ _₽_-;_-* &quot;-&quot;???\ _₽_-;_-@_-"/>
  </numFmts>
  <fonts count="10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2" fontId="1" fillId="0" borderId="16" xfId="0" applyNumberFormat="1" applyFont="1" applyFill="1" applyBorder="1" applyAlignment="1">
      <alignment horizontal="center" vertical="center" wrapText="1"/>
    </xf>
    <xf numFmtId="10" fontId="1" fillId="0" borderId="19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2" fontId="1" fillId="0" borderId="16" xfId="0" applyNumberFormat="1" applyFont="1" applyFill="1" applyBorder="1" applyAlignment="1">
      <alignment vertical="center" wrapText="1"/>
    </xf>
    <xf numFmtId="10" fontId="1" fillId="0" borderId="0" xfId="0" applyNumberFormat="1" applyFont="1" applyFill="1" applyAlignment="1">
      <alignment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9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2" fontId="1" fillId="4" borderId="16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49" fontId="1" fillId="0" borderId="16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vertical="center" wrapText="1"/>
    </xf>
    <xf numFmtId="166" fontId="1" fillId="0" borderId="16" xfId="0" applyNumberFormat="1" applyFont="1" applyFill="1" applyBorder="1" applyAlignment="1">
      <alignment horizontal="right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49" fontId="5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>
      <alignment horizontal="center" vertical="center" wrapText="1"/>
    </xf>
    <xf numFmtId="165" fontId="1" fillId="4" borderId="16" xfId="0" applyNumberFormat="1" applyFont="1" applyFill="1" applyBorder="1" applyAlignment="1">
      <alignment horizontal="center" vertical="center" wrapText="1"/>
    </xf>
    <xf numFmtId="10" fontId="1" fillId="4" borderId="19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2" fontId="1" fillId="4" borderId="19" xfId="0" applyNumberFormat="1" applyFont="1" applyFill="1" applyBorder="1" applyAlignment="1">
      <alignment horizontal="center" vertical="center" wrapText="1"/>
    </xf>
    <xf numFmtId="9" fontId="1" fillId="4" borderId="16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165" fontId="1" fillId="4" borderId="16" xfId="0" applyNumberFormat="1" applyFont="1" applyFill="1" applyBorder="1" applyAlignment="1">
      <alignment vertical="center" wrapText="1"/>
    </xf>
    <xf numFmtId="10" fontId="1" fillId="0" borderId="16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vertical="center" wrapText="1"/>
    </xf>
    <xf numFmtId="165" fontId="1" fillId="4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0" fontId="1" fillId="2" borderId="19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vertical="center" wrapText="1"/>
    </xf>
    <xf numFmtId="165" fontId="1" fillId="2" borderId="16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167" fontId="1" fillId="4" borderId="10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9" fontId="1" fillId="2" borderId="16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16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10" fontId="7" fillId="2" borderId="19" xfId="0" applyNumberFormat="1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9" fontId="7" fillId="2" borderId="16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2" fontId="7" fillId="2" borderId="16" xfId="0" applyNumberFormat="1" applyFont="1" applyFill="1" applyBorder="1" applyAlignment="1">
      <alignment vertical="center" wrapText="1"/>
    </xf>
    <xf numFmtId="165" fontId="7" fillId="2" borderId="16" xfId="0" applyNumberFormat="1" applyFont="1" applyFill="1" applyBorder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165" fontId="1" fillId="4" borderId="26" xfId="0" applyNumberFormat="1" applyFont="1" applyFill="1" applyBorder="1" applyAlignment="1">
      <alignment horizontal="center" vertical="center" wrapText="1"/>
    </xf>
    <xf numFmtId="165" fontId="1" fillId="4" borderId="26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165" fontId="1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9" fontId="1" fillId="2" borderId="13" xfId="0" applyNumberFormat="1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vertical="center" wrapText="1"/>
    </xf>
    <xf numFmtId="165" fontId="1" fillId="4" borderId="2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22"/>
  <sheetViews>
    <sheetView tabSelected="1" topLeftCell="T22" zoomScale="89" zoomScaleNormal="89" workbookViewId="0">
      <selection activeCell="AY108" sqref="AY108"/>
    </sheetView>
  </sheetViews>
  <sheetFormatPr defaultRowHeight="15"/>
  <cols>
    <col min="1" max="1" width="9.140625" style="1"/>
    <col min="2" max="2" width="0" style="2" hidden="1" customWidth="1"/>
    <col min="3" max="3" width="28.42578125" style="1" customWidth="1"/>
    <col min="4" max="4" width="9.140625" style="2"/>
    <col min="5" max="5" width="9.140625" style="3"/>
    <col min="6" max="10" width="9.140625" style="2"/>
    <col min="11" max="11" width="9.140625" style="4"/>
    <col min="12" max="12" width="9.140625" style="2"/>
    <col min="13" max="13" width="14.140625" style="1" customWidth="1"/>
    <col min="14" max="14" width="9.140625" style="1"/>
    <col min="15" max="15" width="9.140625" style="2"/>
    <col min="16" max="16" width="16.140625" style="2" customWidth="1"/>
    <col min="17" max="18" width="9.140625" style="2"/>
    <col min="19" max="19" width="17.7109375" style="2" customWidth="1"/>
    <col min="20" max="20" width="9.140625" style="2"/>
    <col min="21" max="21" width="18.7109375" style="2" customWidth="1"/>
    <col min="22" max="22" width="17" style="2" customWidth="1"/>
    <col min="23" max="23" width="15.42578125" style="2" customWidth="1"/>
    <col min="24" max="24" width="14.42578125" style="2" customWidth="1"/>
    <col min="25" max="26" width="9.140625" style="2"/>
    <col min="27" max="27" width="18" style="2" customWidth="1"/>
    <col min="28" max="28" width="15.28515625" style="2" customWidth="1"/>
    <col min="29" max="29" width="13.42578125" style="2" customWidth="1"/>
    <col min="30" max="30" width="20.140625" style="2" customWidth="1"/>
    <col min="31" max="31" width="13.28515625" style="2" customWidth="1"/>
    <col min="32" max="32" width="24.140625" style="2" customWidth="1"/>
    <col min="33" max="34" width="0" style="2" hidden="1" customWidth="1"/>
    <col min="35" max="41" width="0" style="6" hidden="1" customWidth="1"/>
    <col min="42" max="49" width="0" style="2" hidden="1" customWidth="1"/>
    <col min="50" max="50" width="3.7109375" style="2" customWidth="1"/>
    <col min="51" max="51" width="9.140625" style="2"/>
    <col min="52" max="52" width="0" style="2" hidden="1" customWidth="1"/>
    <col min="53" max="16384" width="9.140625" style="2"/>
  </cols>
  <sheetData>
    <row r="1" spans="1:52">
      <c r="Z1" s="5"/>
    </row>
    <row r="2" spans="1:5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8"/>
    </row>
    <row r="3" spans="1:5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"/>
      <c r="AF3" s="1"/>
      <c r="AI3" s="2"/>
      <c r="AJ3" s="2"/>
      <c r="AK3" s="2"/>
      <c r="AL3" s="2"/>
      <c r="AM3" s="2"/>
      <c r="AN3" s="2"/>
      <c r="AO3" s="2"/>
    </row>
    <row r="4" spans="1:52">
      <c r="N4" s="2"/>
    </row>
    <row r="5" spans="1:52" ht="15" customHeight="1">
      <c r="N5" s="2"/>
      <c r="T5" s="10"/>
      <c r="U5" s="10"/>
      <c r="AI5" s="11" t="s">
        <v>2</v>
      </c>
      <c r="AJ5" s="11" t="s">
        <v>3</v>
      </c>
      <c r="AK5" s="11" t="s">
        <v>4</v>
      </c>
      <c r="AL5" s="1"/>
      <c r="AM5" s="11" t="s">
        <v>2</v>
      </c>
      <c r="AN5" s="11" t="s">
        <v>3</v>
      </c>
      <c r="AO5" s="11" t="s">
        <v>4</v>
      </c>
      <c r="AP5" s="1"/>
      <c r="AQ5" s="1"/>
      <c r="AR5" s="1"/>
    </row>
    <row r="6" spans="1:52" ht="15.75" thickBot="1">
      <c r="N6" s="2"/>
      <c r="AI6" s="12"/>
      <c r="AJ6" s="12"/>
      <c r="AK6" s="12"/>
      <c r="AM6" s="12"/>
      <c r="AN6" s="12"/>
      <c r="AO6" s="12"/>
      <c r="AP6" s="1"/>
      <c r="AQ6" s="1"/>
      <c r="AR6" s="1"/>
    </row>
    <row r="7" spans="1:52" s="1" customFormat="1" ht="75.75" thickBot="1">
      <c r="A7" s="13" t="s">
        <v>5</v>
      </c>
      <c r="B7" s="13" t="s">
        <v>2</v>
      </c>
      <c r="C7" s="13" t="s">
        <v>6</v>
      </c>
      <c r="D7" s="13" t="s">
        <v>7</v>
      </c>
      <c r="E7" s="14" t="s">
        <v>8</v>
      </c>
      <c r="F7" s="15" t="s">
        <v>9</v>
      </c>
      <c r="G7" s="15" t="s">
        <v>10</v>
      </c>
      <c r="H7" s="15" t="s">
        <v>11</v>
      </c>
      <c r="I7" s="16" t="s">
        <v>12</v>
      </c>
      <c r="J7" s="16" t="s">
        <v>13</v>
      </c>
      <c r="K7" s="16" t="s">
        <v>14</v>
      </c>
      <c r="L7" s="13" t="s">
        <v>15</v>
      </c>
      <c r="M7" s="13" t="s">
        <v>16</v>
      </c>
      <c r="N7" s="13" t="s">
        <v>17</v>
      </c>
      <c r="O7" s="14" t="s">
        <v>18</v>
      </c>
      <c r="P7" s="14" t="s">
        <v>19</v>
      </c>
      <c r="Q7" s="191" t="s">
        <v>20</v>
      </c>
      <c r="R7" s="192"/>
      <c r="S7" s="193">
        <v>0.5</v>
      </c>
      <c r="T7" s="194" t="s">
        <v>21</v>
      </c>
      <c r="U7" s="195"/>
      <c r="V7" s="196"/>
      <c r="W7" s="196" t="s">
        <v>21</v>
      </c>
      <c r="X7" s="196" t="s">
        <v>21</v>
      </c>
      <c r="Y7" s="196"/>
      <c r="Z7" s="17" t="s">
        <v>22</v>
      </c>
      <c r="AA7" s="18"/>
      <c r="AB7" s="19" t="s">
        <v>23</v>
      </c>
      <c r="AC7" s="15" t="s">
        <v>24</v>
      </c>
      <c r="AD7" s="13" t="s">
        <v>25</v>
      </c>
      <c r="AE7" s="13" t="s">
        <v>26</v>
      </c>
      <c r="AF7" s="13" t="s">
        <v>27</v>
      </c>
      <c r="AI7" s="11" t="s">
        <v>2</v>
      </c>
      <c r="AJ7" s="11" t="s">
        <v>3</v>
      </c>
      <c r="AK7" s="11" t="s">
        <v>4</v>
      </c>
      <c r="AL7" s="20"/>
      <c r="AM7" s="11" t="s">
        <v>2</v>
      </c>
      <c r="AN7" s="11" t="s">
        <v>3</v>
      </c>
      <c r="AO7" s="11" t="s">
        <v>4</v>
      </c>
      <c r="AP7" s="2"/>
      <c r="AQ7" s="2"/>
      <c r="AR7" s="2"/>
    </row>
    <row r="8" spans="1:52" s="1" customFormat="1" ht="45.75" thickBot="1">
      <c r="A8" s="21"/>
      <c r="B8" s="21"/>
      <c r="C8" s="21"/>
      <c r="D8" s="21"/>
      <c r="E8" s="22"/>
      <c r="F8" s="23"/>
      <c r="G8" s="23"/>
      <c r="H8" s="23"/>
      <c r="I8" s="24"/>
      <c r="J8" s="24"/>
      <c r="K8" s="24"/>
      <c r="L8" s="21"/>
      <c r="M8" s="21"/>
      <c r="N8" s="21"/>
      <c r="O8" s="22"/>
      <c r="P8" s="22"/>
      <c r="Q8" s="197" t="s">
        <v>28</v>
      </c>
      <c r="R8" s="197" t="s">
        <v>29</v>
      </c>
      <c r="S8" s="198"/>
      <c r="T8" s="197" t="s">
        <v>28</v>
      </c>
      <c r="U8" s="197" t="s">
        <v>29</v>
      </c>
      <c r="V8" s="197" t="s">
        <v>30</v>
      </c>
      <c r="W8" s="197" t="s">
        <v>31</v>
      </c>
      <c r="X8" s="197" t="s">
        <v>32</v>
      </c>
      <c r="Y8" s="197"/>
      <c r="Z8" s="25" t="s">
        <v>28</v>
      </c>
      <c r="AA8" s="25" t="s">
        <v>29</v>
      </c>
      <c r="AB8" s="26"/>
      <c r="AC8" s="23"/>
      <c r="AD8" s="21"/>
      <c r="AE8" s="21"/>
      <c r="AF8" s="21"/>
      <c r="AG8" s="1" t="s">
        <v>33</v>
      </c>
      <c r="AI8" s="12"/>
      <c r="AJ8" s="12"/>
      <c r="AK8" s="12"/>
      <c r="AL8" s="6"/>
      <c r="AM8" s="12"/>
      <c r="AN8" s="12"/>
      <c r="AO8" s="12"/>
      <c r="AP8" s="2"/>
      <c r="AQ8" s="2"/>
      <c r="AR8" s="2"/>
    </row>
    <row r="9" spans="1:52" ht="30">
      <c r="A9" s="27">
        <v>1</v>
      </c>
      <c r="B9" s="28" t="s">
        <v>34</v>
      </c>
      <c r="C9" s="29" t="s">
        <v>35</v>
      </c>
      <c r="D9" s="27" t="s">
        <v>36</v>
      </c>
      <c r="E9" s="30" t="s">
        <v>37</v>
      </c>
      <c r="F9" s="31"/>
      <c r="G9" s="32"/>
      <c r="H9" s="33">
        <v>1</v>
      </c>
      <c r="I9" s="34" t="s">
        <v>38</v>
      </c>
      <c r="J9" s="34" t="s">
        <v>39</v>
      </c>
      <c r="K9" s="35" t="s">
        <v>40</v>
      </c>
      <c r="L9" s="36">
        <v>17697</v>
      </c>
      <c r="M9" s="36">
        <v>1</v>
      </c>
      <c r="N9" s="36"/>
      <c r="O9" s="27">
        <v>5.91</v>
      </c>
      <c r="P9" s="36">
        <f>O9*L9</f>
        <v>104589.27</v>
      </c>
      <c r="Q9" s="37">
        <v>0</v>
      </c>
      <c r="R9" s="38">
        <f>ROUND((P9+U9)*Q9,2)</f>
        <v>0</v>
      </c>
      <c r="S9" s="39">
        <f>P9*1.5</f>
        <v>156883.905</v>
      </c>
      <c r="T9" s="37">
        <f>IF(H9&gt;0,10%,0)</f>
        <v>0.1</v>
      </c>
      <c r="U9" s="38">
        <f>ROUND(S9*T9*M9,2)</f>
        <v>15688.39</v>
      </c>
      <c r="V9" s="38">
        <f>S9-P9</f>
        <v>52294.634999999995</v>
      </c>
      <c r="W9" s="38">
        <f>V9*T9</f>
        <v>5229.4634999999998</v>
      </c>
      <c r="X9" s="38">
        <f>U9-W9</f>
        <v>10458.9265</v>
      </c>
      <c r="Y9" s="38"/>
      <c r="Z9" s="40"/>
      <c r="AA9" s="38"/>
      <c r="AB9" s="38">
        <f>17697*20%</f>
        <v>3539.4</v>
      </c>
      <c r="AC9" s="38"/>
      <c r="AD9" s="36">
        <f>ROUND(S9*M9+U9+R9+AA9,2)+AB9</f>
        <v>176111.69999999998</v>
      </c>
      <c r="AE9" s="36">
        <f>AD9*AG9%</f>
        <v>16091.5021407</v>
      </c>
      <c r="AF9" s="36">
        <f>AD9-AE9</f>
        <v>160020.19785929998</v>
      </c>
      <c r="AG9" s="41">
        <v>9.1371000000000002</v>
      </c>
      <c r="AI9" s="42"/>
      <c r="AJ9" s="43"/>
      <c r="AK9" s="43"/>
      <c r="AM9" s="42" t="str">
        <f>B7:B9</f>
        <v>Кожабаева Л. М.</v>
      </c>
      <c r="AN9" s="43">
        <f>M9</f>
        <v>1</v>
      </c>
      <c r="AO9" s="43">
        <f>AD9</f>
        <v>176111.69999999998</v>
      </c>
      <c r="AY9" s="44"/>
      <c r="AZ9" s="5">
        <f>P9+U9+R9+AA9</f>
        <v>120277.66</v>
      </c>
    </row>
    <row r="10" spans="1:52" ht="30">
      <c r="A10" s="27">
        <v>2</v>
      </c>
      <c r="B10" s="45" t="s">
        <v>41</v>
      </c>
      <c r="C10" s="29" t="s">
        <v>42</v>
      </c>
      <c r="D10" s="27" t="s">
        <v>36</v>
      </c>
      <c r="E10" s="27" t="s">
        <v>43</v>
      </c>
      <c r="F10" s="27"/>
      <c r="G10" s="27"/>
      <c r="H10" s="27">
        <v>1</v>
      </c>
      <c r="I10" s="46" t="s">
        <v>38</v>
      </c>
      <c r="J10" s="47" t="s">
        <v>44</v>
      </c>
      <c r="K10" s="35" t="s">
        <v>40</v>
      </c>
      <c r="L10" s="36">
        <v>17697</v>
      </c>
      <c r="M10" s="36">
        <v>1</v>
      </c>
      <c r="N10" s="36"/>
      <c r="O10" s="27">
        <v>5.09</v>
      </c>
      <c r="P10" s="36">
        <f>L10*O10</f>
        <v>90077.73</v>
      </c>
      <c r="Q10" s="37">
        <v>0</v>
      </c>
      <c r="R10" s="38">
        <f>ROUND((P10+U10)*Q10,2)</f>
        <v>0</v>
      </c>
      <c r="S10" s="39"/>
      <c r="T10" s="37">
        <v>0.1</v>
      </c>
      <c r="U10" s="38">
        <f>ROUND(P10*T10*M10,2)</f>
        <v>9007.77</v>
      </c>
      <c r="V10" s="38"/>
      <c r="W10" s="38"/>
      <c r="X10" s="38"/>
      <c r="Y10" s="38"/>
      <c r="Z10" s="48"/>
      <c r="AA10" s="36"/>
      <c r="AB10" s="36"/>
      <c r="AC10" s="36"/>
      <c r="AD10" s="36">
        <f>ROUND(P10*M10+U10+R10+AA10,2)</f>
        <v>99085.5</v>
      </c>
      <c r="AE10" s="36">
        <f>AD10*AG10%</f>
        <v>13821.337309500001</v>
      </c>
      <c r="AF10" s="36">
        <f>AD10-AE10</f>
        <v>85264.162690500001</v>
      </c>
      <c r="AG10" s="41">
        <v>13.9489</v>
      </c>
      <c r="AI10" s="42" t="str">
        <f>B10</f>
        <v>Акпанова А. К.</v>
      </c>
      <c r="AJ10" s="43">
        <f>M10</f>
        <v>1</v>
      </c>
      <c r="AK10" s="43">
        <f>AD10</f>
        <v>99085.5</v>
      </c>
      <c r="AL10" s="20"/>
      <c r="AM10" s="42"/>
      <c r="AN10" s="43"/>
      <c r="AO10" s="43"/>
    </row>
    <row r="11" spans="1:52" ht="30">
      <c r="A11" s="27">
        <v>3</v>
      </c>
      <c r="B11" s="49" t="s">
        <v>45</v>
      </c>
      <c r="C11" s="50" t="s">
        <v>46</v>
      </c>
      <c r="D11" s="51" t="s">
        <v>36</v>
      </c>
      <c r="E11" s="51" t="s">
        <v>47</v>
      </c>
      <c r="F11" s="51"/>
      <c r="G11" s="51"/>
      <c r="H11" s="51">
        <v>1</v>
      </c>
      <c r="I11" s="46" t="s">
        <v>48</v>
      </c>
      <c r="J11" s="47" t="s">
        <v>48</v>
      </c>
      <c r="K11" s="35" t="s">
        <v>49</v>
      </c>
      <c r="L11" s="52">
        <v>17697</v>
      </c>
      <c r="M11" s="52">
        <v>1</v>
      </c>
      <c r="N11" s="36"/>
      <c r="O11" s="52">
        <v>4.43</v>
      </c>
      <c r="P11" s="52">
        <f>L11*O11*M11</f>
        <v>78397.709999999992</v>
      </c>
      <c r="Q11" s="37">
        <f>IF(G11&gt;0,25%,0)</f>
        <v>0</v>
      </c>
      <c r="R11" s="38">
        <f>ROUND((P11+U11)*Q11,2)</f>
        <v>0</v>
      </c>
      <c r="S11" s="39"/>
      <c r="T11" s="37">
        <v>0.1</v>
      </c>
      <c r="U11" s="38">
        <f>P11*T11</f>
        <v>7839.7709999999997</v>
      </c>
      <c r="V11" s="38"/>
      <c r="W11" s="36"/>
      <c r="X11" s="36"/>
      <c r="Y11" s="53"/>
      <c r="Z11" s="54"/>
      <c r="AA11" s="52"/>
      <c r="AB11" s="52"/>
      <c r="AC11" s="52"/>
      <c r="AD11" s="36">
        <f>U11+P11</f>
        <v>86237.480999999985</v>
      </c>
      <c r="AE11" s="36">
        <f>AD11*AG11%</f>
        <v>19163.865502781999</v>
      </c>
      <c r="AF11" s="36">
        <f>AD11-AE11</f>
        <v>67073.615497217979</v>
      </c>
      <c r="AG11" s="41">
        <v>22.222200000000001</v>
      </c>
      <c r="AI11" s="42" t="str">
        <f>B11</f>
        <v>Кохтаева СК</v>
      </c>
      <c r="AJ11" s="43">
        <f>M11</f>
        <v>1</v>
      </c>
      <c r="AK11" s="43">
        <f>AD11</f>
        <v>86237.480999999985</v>
      </c>
      <c r="AM11" s="42"/>
      <c r="AN11" s="43"/>
      <c r="AO11" s="43"/>
    </row>
    <row r="12" spans="1:52" ht="30.75" thickBot="1">
      <c r="A12" s="27">
        <v>4</v>
      </c>
      <c r="B12" s="50" t="s">
        <v>50</v>
      </c>
      <c r="C12" s="50" t="s">
        <v>46</v>
      </c>
      <c r="D12" s="51" t="s">
        <v>36</v>
      </c>
      <c r="E12" s="51" t="s">
        <v>51</v>
      </c>
      <c r="F12" s="51"/>
      <c r="G12" s="51"/>
      <c r="H12" s="51">
        <v>1</v>
      </c>
      <c r="I12" s="46" t="s">
        <v>48</v>
      </c>
      <c r="J12" s="47" t="s">
        <v>48</v>
      </c>
      <c r="K12" s="35" t="s">
        <v>49</v>
      </c>
      <c r="L12" s="52">
        <v>17697</v>
      </c>
      <c r="M12" s="52">
        <v>0.5</v>
      </c>
      <c r="N12" s="36"/>
      <c r="O12" s="52">
        <v>4.43</v>
      </c>
      <c r="P12" s="52">
        <f>L12*O12*M12</f>
        <v>39198.854999999996</v>
      </c>
      <c r="Q12" s="37">
        <f>IF(G12&gt;0,25%,0)</f>
        <v>0</v>
      </c>
      <c r="R12" s="38">
        <f>ROUND((P12+U12)*Q12,2)</f>
        <v>0</v>
      </c>
      <c r="S12" s="39"/>
      <c r="T12" s="37">
        <v>0.1</v>
      </c>
      <c r="U12" s="38">
        <f>P12*T12</f>
        <v>3919.8854999999999</v>
      </c>
      <c r="V12" s="38"/>
      <c r="W12" s="53"/>
      <c r="X12" s="53"/>
      <c r="Y12" s="53"/>
      <c r="Z12" s="54"/>
      <c r="AA12" s="52"/>
      <c r="AB12" s="52"/>
      <c r="AC12" s="52"/>
      <c r="AD12" s="36">
        <f>U12+P12</f>
        <v>43118.740499999993</v>
      </c>
      <c r="AE12" s="36">
        <f>AD12*AG12%</f>
        <v>9581.9327513909993</v>
      </c>
      <c r="AF12" s="36">
        <f>AD12-AE12</f>
        <v>33536.80774860899</v>
      </c>
      <c r="AG12" s="41">
        <v>22.222200000000001</v>
      </c>
      <c r="AI12" s="42" t="str">
        <f>B12</f>
        <v>Шотова М.В.</v>
      </c>
      <c r="AJ12" s="43">
        <f>M12</f>
        <v>0.5</v>
      </c>
      <c r="AK12" s="43">
        <f>AD12</f>
        <v>43118.740499999993</v>
      </c>
      <c r="AM12" s="42"/>
      <c r="AN12" s="43"/>
      <c r="AO12" s="43"/>
    </row>
    <row r="13" spans="1:52" ht="28.5" customHeight="1" thickBot="1">
      <c r="A13" s="55" t="s">
        <v>52</v>
      </c>
      <c r="B13" s="56"/>
      <c r="C13" s="56"/>
      <c r="D13" s="56"/>
      <c r="E13" s="57"/>
      <c r="F13" s="57"/>
      <c r="G13" s="57"/>
      <c r="H13" s="57"/>
      <c r="I13" s="57"/>
      <c r="J13" s="57"/>
      <c r="K13" s="58"/>
      <c r="L13" s="57"/>
      <c r="M13" s="59">
        <f>ROUND(SUM(M9:M12),2)</f>
        <v>3.5</v>
      </c>
      <c r="N13" s="59"/>
      <c r="O13" s="59"/>
      <c r="P13" s="59">
        <f>ROUND(SUM(P9:P12),2)</f>
        <v>312263.57</v>
      </c>
      <c r="Q13" s="59">
        <f t="shared" ref="Q13:AA13" si="0">ROUND(SUM(Q9:Q12),2)</f>
        <v>0</v>
      </c>
      <c r="R13" s="59">
        <f t="shared" si="0"/>
        <v>0</v>
      </c>
      <c r="S13" s="59">
        <f t="shared" si="0"/>
        <v>156883.91</v>
      </c>
      <c r="T13" s="59"/>
      <c r="U13" s="59">
        <f t="shared" si="0"/>
        <v>36455.82</v>
      </c>
      <c r="V13" s="59">
        <f t="shared" si="0"/>
        <v>52294.64</v>
      </c>
      <c r="W13" s="59">
        <f>ROUND(SUM(W9:W12),2)</f>
        <v>5229.46</v>
      </c>
      <c r="X13" s="59">
        <f t="shared" si="0"/>
        <v>10458.93</v>
      </c>
      <c r="Y13" s="59">
        <f t="shared" si="0"/>
        <v>0</v>
      </c>
      <c r="Z13" s="59">
        <f t="shared" si="0"/>
        <v>0</v>
      </c>
      <c r="AA13" s="59">
        <f t="shared" si="0"/>
        <v>0</v>
      </c>
      <c r="AB13" s="59"/>
      <c r="AC13" s="59"/>
      <c r="AD13" s="59">
        <f>ROUND(SUM(AD9:AD12),2)</f>
        <v>404553.42</v>
      </c>
      <c r="AE13" s="59">
        <f>ROUND(SUM(AE9:AE11),2)</f>
        <v>49076.7</v>
      </c>
      <c r="AF13" s="59">
        <f>ROUND(SUM(AF9:AF11),2)</f>
        <v>312357.98</v>
      </c>
      <c r="AG13" s="41"/>
      <c r="AI13" s="60" t="s">
        <v>53</v>
      </c>
      <c r="AJ13" s="61">
        <f>SUM(AJ9:AJ11)</f>
        <v>2</v>
      </c>
      <c r="AK13" s="61">
        <f>SUM(AK9:AK11)</f>
        <v>185322.98099999997</v>
      </c>
      <c r="AL13" s="20"/>
      <c r="AM13" s="60" t="s">
        <v>54</v>
      </c>
      <c r="AN13" s="61">
        <f>SUM(AN9:AN11)</f>
        <v>1</v>
      </c>
      <c r="AO13" s="61">
        <f>SUM(AO9:AO11)</f>
        <v>176111.69999999998</v>
      </c>
      <c r="AQ13" s="5"/>
    </row>
    <row r="14" spans="1:52">
      <c r="A14" s="33">
        <v>5</v>
      </c>
      <c r="B14" s="62" t="s">
        <v>55</v>
      </c>
      <c r="C14" s="45" t="s">
        <v>56</v>
      </c>
      <c r="D14" s="27" t="s">
        <v>36</v>
      </c>
      <c r="E14" s="33" t="s">
        <v>57</v>
      </c>
      <c r="F14" s="63"/>
      <c r="G14" s="63"/>
      <c r="H14" s="63" t="s">
        <v>58</v>
      </c>
      <c r="I14" s="46" t="s">
        <v>59</v>
      </c>
      <c r="J14" s="47" t="s">
        <v>60</v>
      </c>
      <c r="K14" s="35" t="s">
        <v>58</v>
      </c>
      <c r="L14" s="36">
        <v>17697</v>
      </c>
      <c r="M14" s="64">
        <v>1</v>
      </c>
      <c r="N14" s="36" t="s">
        <v>61</v>
      </c>
      <c r="O14" s="36">
        <v>4.6900000000000004</v>
      </c>
      <c r="P14" s="36">
        <f>L14*O14</f>
        <v>82998.930000000008</v>
      </c>
      <c r="Q14" s="37">
        <f>IF(G14&gt;0,25%,0)</f>
        <v>0</v>
      </c>
      <c r="R14" s="38">
        <f>ROUND((P14+U14)*Q14,2)</f>
        <v>0</v>
      </c>
      <c r="S14" s="39">
        <f t="shared" ref="S14:S22" si="1">P14*1.5</f>
        <v>124498.39500000002</v>
      </c>
      <c r="T14" s="37">
        <f>IF(H9&gt;0,10%,0)</f>
        <v>0.1</v>
      </c>
      <c r="U14" s="38">
        <f>S14*T14*M14</f>
        <v>12449.839500000002</v>
      </c>
      <c r="V14" s="38">
        <f>S14-P14</f>
        <v>41499.465000000011</v>
      </c>
      <c r="W14" s="38">
        <f>V14*T14</f>
        <v>4149.9465000000009</v>
      </c>
      <c r="X14" s="38">
        <f>U14-W14</f>
        <v>8299.893</v>
      </c>
      <c r="Y14" s="38"/>
      <c r="Z14" s="48"/>
      <c r="AA14" s="36"/>
      <c r="AB14" s="38">
        <f>17697*20%*M14</f>
        <v>3539.4</v>
      </c>
      <c r="AC14" s="38"/>
      <c r="AD14" s="38">
        <f>S14+U14+AB14+AC14</f>
        <v>140487.63450000001</v>
      </c>
      <c r="AE14" s="36">
        <f>AD14*AG14%</f>
        <v>18352.040182369503</v>
      </c>
      <c r="AF14" s="36">
        <f>AD14-AE14</f>
        <v>122135.59431763052</v>
      </c>
      <c r="AG14" s="41">
        <v>13.0631</v>
      </c>
      <c r="AI14" s="42"/>
      <c r="AJ14" s="43"/>
      <c r="AK14" s="43"/>
      <c r="AM14" s="42"/>
      <c r="AN14" s="65"/>
      <c r="AO14" s="43"/>
    </row>
    <row r="15" spans="1:52" ht="30">
      <c r="A15" s="33">
        <v>6</v>
      </c>
      <c r="B15" s="62" t="s">
        <v>62</v>
      </c>
      <c r="C15" s="45" t="s">
        <v>63</v>
      </c>
      <c r="D15" s="27" t="s">
        <v>36</v>
      </c>
      <c r="E15" s="33" t="s">
        <v>37</v>
      </c>
      <c r="F15" s="63"/>
      <c r="G15" s="63"/>
      <c r="H15" s="63" t="s">
        <v>58</v>
      </c>
      <c r="I15" s="46" t="s">
        <v>59</v>
      </c>
      <c r="J15" s="47" t="s">
        <v>60</v>
      </c>
      <c r="K15" s="35" t="s">
        <v>58</v>
      </c>
      <c r="L15" s="36">
        <v>17697</v>
      </c>
      <c r="M15" s="64">
        <v>1</v>
      </c>
      <c r="N15" s="36"/>
      <c r="O15" s="36">
        <v>4.1900000000000004</v>
      </c>
      <c r="P15" s="36">
        <f>L15*O15</f>
        <v>74150.430000000008</v>
      </c>
      <c r="Q15" s="37">
        <f>IF(G15&gt;0,25%,0)</f>
        <v>0</v>
      </c>
      <c r="R15" s="38">
        <f>ROUND((P15+U15)*Q15,2)</f>
        <v>0</v>
      </c>
      <c r="S15" s="39">
        <f>P15*1.5</f>
        <v>111225.64500000002</v>
      </c>
      <c r="T15" s="37">
        <f>IF(H10&gt;0,10%,0)</f>
        <v>0.1</v>
      </c>
      <c r="U15" s="38">
        <f>S15*T15*M15</f>
        <v>11122.564500000002</v>
      </c>
      <c r="V15" s="38">
        <f>S15-P15</f>
        <v>37075.215000000011</v>
      </c>
      <c r="W15" s="38">
        <f>V15*T15</f>
        <v>3707.5215000000012</v>
      </c>
      <c r="X15" s="38">
        <f>U15-W15</f>
        <v>7415.0430000000015</v>
      </c>
      <c r="Y15" s="38"/>
      <c r="Z15" s="48"/>
      <c r="AA15" s="36"/>
      <c r="AB15" s="38">
        <f t="shared" ref="AB15:AB22" si="2">17697*20%*M15</f>
        <v>3539.4</v>
      </c>
      <c r="AC15" s="38"/>
      <c r="AD15" s="38">
        <f>S15+U15+AB15+AC15</f>
        <v>125887.60950000002</v>
      </c>
      <c r="AE15" s="36"/>
      <c r="AF15" s="36"/>
      <c r="AG15" s="41"/>
      <c r="AI15" s="42"/>
      <c r="AJ15" s="43"/>
      <c r="AK15" s="43"/>
      <c r="AM15" s="42"/>
      <c r="AN15" s="65"/>
      <c r="AO15" s="43"/>
    </row>
    <row r="16" spans="1:52">
      <c r="A16" s="33">
        <v>7</v>
      </c>
      <c r="B16" s="62" t="s">
        <v>64</v>
      </c>
      <c r="C16" s="45" t="s">
        <v>65</v>
      </c>
      <c r="D16" s="27" t="s">
        <v>36</v>
      </c>
      <c r="E16" s="33" t="s">
        <v>66</v>
      </c>
      <c r="F16" s="63"/>
      <c r="G16" s="63"/>
      <c r="H16" s="63" t="s">
        <v>58</v>
      </c>
      <c r="I16" s="46" t="s">
        <v>59</v>
      </c>
      <c r="J16" s="47" t="s">
        <v>67</v>
      </c>
      <c r="K16" s="35" t="s">
        <v>68</v>
      </c>
      <c r="L16" s="36">
        <v>17697</v>
      </c>
      <c r="M16" s="66">
        <v>1.5</v>
      </c>
      <c r="N16" s="36"/>
      <c r="O16" s="36">
        <v>4.67</v>
      </c>
      <c r="P16" s="36">
        <f>17697*1.5*O16</f>
        <v>123967.485</v>
      </c>
      <c r="Q16" s="37"/>
      <c r="R16" s="38"/>
      <c r="S16" s="39">
        <f t="shared" si="1"/>
        <v>185951.22750000001</v>
      </c>
      <c r="T16" s="37">
        <f>IF(H10&gt;0,10%,0)</f>
        <v>0.1</v>
      </c>
      <c r="U16" s="38">
        <f>S16*T16</f>
        <v>18595.122750000002</v>
      </c>
      <c r="V16" s="38">
        <f t="shared" ref="V16:V33" si="3">S16-P16</f>
        <v>61983.742500000008</v>
      </c>
      <c r="W16" s="38">
        <f t="shared" ref="W16:W33" si="4">V16*T16</f>
        <v>6198.3742500000008</v>
      </c>
      <c r="X16" s="38">
        <f>U16-W16</f>
        <v>12396.748500000002</v>
      </c>
      <c r="Y16" s="38"/>
      <c r="Z16" s="48"/>
      <c r="AA16" s="36"/>
      <c r="AB16" s="38">
        <f t="shared" si="2"/>
        <v>5309.1</v>
      </c>
      <c r="AC16" s="38"/>
      <c r="AD16" s="38">
        <f>S16+U16+AB16+AC16</f>
        <v>209855.45025000002</v>
      </c>
      <c r="AE16" s="36"/>
      <c r="AF16" s="36"/>
      <c r="AG16" s="41"/>
      <c r="AI16" s="42"/>
      <c r="AJ16" s="43"/>
      <c r="AK16" s="43"/>
      <c r="AM16" s="42"/>
      <c r="AN16" s="65"/>
      <c r="AO16" s="43"/>
    </row>
    <row r="17" spans="1:41" ht="30">
      <c r="A17" s="33">
        <v>8</v>
      </c>
      <c r="B17" s="62" t="s">
        <v>62</v>
      </c>
      <c r="C17" s="45" t="s">
        <v>65</v>
      </c>
      <c r="D17" s="27" t="s">
        <v>36</v>
      </c>
      <c r="E17" s="33" t="s">
        <v>69</v>
      </c>
      <c r="F17" s="63"/>
      <c r="G17" s="63"/>
      <c r="H17" s="63" t="s">
        <v>58</v>
      </c>
      <c r="I17" s="46" t="s">
        <v>59</v>
      </c>
      <c r="J17" s="47" t="s">
        <v>67</v>
      </c>
      <c r="K17" s="35" t="s">
        <v>68</v>
      </c>
      <c r="L17" s="36">
        <v>17697</v>
      </c>
      <c r="M17" s="66">
        <v>0.5</v>
      </c>
      <c r="N17" s="36"/>
      <c r="O17" s="36">
        <v>4.7300000000000004</v>
      </c>
      <c r="P17" s="36">
        <f>L17*M17*O17</f>
        <v>41853.405000000006</v>
      </c>
      <c r="Q17" s="37"/>
      <c r="R17" s="38"/>
      <c r="S17" s="39">
        <f t="shared" si="1"/>
        <v>62780.107500000013</v>
      </c>
      <c r="T17" s="37">
        <v>0.1</v>
      </c>
      <c r="U17" s="38">
        <f>S17*T17</f>
        <v>6278.0107500000013</v>
      </c>
      <c r="V17" s="38">
        <f t="shared" si="3"/>
        <v>20926.702500000007</v>
      </c>
      <c r="W17" s="38">
        <f t="shared" si="4"/>
        <v>2092.6702500000006</v>
      </c>
      <c r="X17" s="38">
        <f t="shared" ref="X17:X33" si="5">U17-W17</f>
        <v>4185.3405000000002</v>
      </c>
      <c r="Y17" s="38"/>
      <c r="Z17" s="48"/>
      <c r="AA17" s="36"/>
      <c r="AB17" s="38">
        <f t="shared" si="2"/>
        <v>1769.7</v>
      </c>
      <c r="AC17" s="38"/>
      <c r="AD17" s="38">
        <f t="shared" ref="AD17:AD46" si="6">S17+U17+AB17+AC17</f>
        <v>70827.818250000011</v>
      </c>
      <c r="AE17" s="36"/>
      <c r="AF17" s="36"/>
      <c r="AG17" s="41"/>
      <c r="AI17" s="42"/>
      <c r="AJ17" s="43"/>
      <c r="AK17" s="43"/>
      <c r="AM17" s="42"/>
      <c r="AN17" s="65"/>
      <c r="AO17" s="43"/>
    </row>
    <row r="18" spans="1:41" ht="30">
      <c r="A18" s="33">
        <v>9</v>
      </c>
      <c r="B18" s="62" t="s">
        <v>62</v>
      </c>
      <c r="C18" s="45" t="s">
        <v>70</v>
      </c>
      <c r="D18" s="27" t="s">
        <v>36</v>
      </c>
      <c r="E18" s="33" t="s">
        <v>37</v>
      </c>
      <c r="F18" s="63"/>
      <c r="G18" s="63"/>
      <c r="H18" s="63" t="s">
        <v>58</v>
      </c>
      <c r="I18" s="46" t="s">
        <v>59</v>
      </c>
      <c r="J18" s="47" t="s">
        <v>67</v>
      </c>
      <c r="K18" s="35" t="s">
        <v>68</v>
      </c>
      <c r="L18" s="36">
        <v>17697</v>
      </c>
      <c r="M18" s="64">
        <v>2</v>
      </c>
      <c r="N18" s="36"/>
      <c r="O18" s="36">
        <v>4.7300000000000004</v>
      </c>
      <c r="P18" s="36">
        <f>L18*O18*2</f>
        <v>167413.62000000002</v>
      </c>
      <c r="Q18" s="37"/>
      <c r="R18" s="38"/>
      <c r="S18" s="39">
        <f>P18*1.5</f>
        <v>251120.43000000005</v>
      </c>
      <c r="T18" s="37">
        <f>IF(H12&gt;0,10%,0)</f>
        <v>0.1</v>
      </c>
      <c r="U18" s="38">
        <f>S18*T18</f>
        <v>25112.043000000005</v>
      </c>
      <c r="V18" s="38">
        <f t="shared" si="3"/>
        <v>83706.810000000027</v>
      </c>
      <c r="W18" s="38">
        <f t="shared" si="4"/>
        <v>8370.6810000000023</v>
      </c>
      <c r="X18" s="38">
        <f t="shared" si="5"/>
        <v>16741.362000000001</v>
      </c>
      <c r="Y18" s="38"/>
      <c r="Z18" s="48"/>
      <c r="AA18" s="36"/>
      <c r="AB18" s="38">
        <f t="shared" si="2"/>
        <v>7078.8</v>
      </c>
      <c r="AC18" s="38"/>
      <c r="AD18" s="38">
        <f t="shared" si="6"/>
        <v>283311.27300000004</v>
      </c>
      <c r="AE18" s="36"/>
      <c r="AF18" s="36"/>
      <c r="AG18" s="41"/>
      <c r="AI18" s="42"/>
      <c r="AJ18" s="43"/>
      <c r="AK18" s="43"/>
      <c r="AM18" s="42"/>
      <c r="AN18" s="65"/>
      <c r="AO18" s="43"/>
    </row>
    <row r="19" spans="1:41" ht="30">
      <c r="A19" s="33">
        <v>10</v>
      </c>
      <c r="B19" s="62" t="s">
        <v>62</v>
      </c>
      <c r="C19" s="45" t="s">
        <v>71</v>
      </c>
      <c r="D19" s="27" t="s">
        <v>36</v>
      </c>
      <c r="E19" s="33" t="s">
        <v>37</v>
      </c>
      <c r="F19" s="63"/>
      <c r="G19" s="63"/>
      <c r="H19" s="63" t="s">
        <v>58</v>
      </c>
      <c r="I19" s="46" t="s">
        <v>59</v>
      </c>
      <c r="J19" s="47" t="s">
        <v>67</v>
      </c>
      <c r="K19" s="35" t="s">
        <v>68</v>
      </c>
      <c r="L19" s="36">
        <v>17697</v>
      </c>
      <c r="M19" s="64">
        <v>1</v>
      </c>
      <c r="N19" s="36"/>
      <c r="O19" s="36">
        <v>4.7300000000000004</v>
      </c>
      <c r="P19" s="36">
        <f>L19*O19</f>
        <v>83706.810000000012</v>
      </c>
      <c r="Q19" s="37"/>
      <c r="R19" s="38"/>
      <c r="S19" s="39">
        <f t="shared" si="1"/>
        <v>125560.21500000003</v>
      </c>
      <c r="T19" s="37">
        <v>0.1</v>
      </c>
      <c r="U19" s="38">
        <f>S19*T19*M19</f>
        <v>12556.021500000003</v>
      </c>
      <c r="V19" s="38">
        <f t="shared" si="3"/>
        <v>41853.405000000013</v>
      </c>
      <c r="W19" s="38">
        <f t="shared" si="4"/>
        <v>4185.3405000000012</v>
      </c>
      <c r="X19" s="38">
        <f t="shared" si="5"/>
        <v>8370.6810000000005</v>
      </c>
      <c r="Y19" s="38"/>
      <c r="Z19" s="48"/>
      <c r="AA19" s="36"/>
      <c r="AB19" s="38">
        <f t="shared" si="2"/>
        <v>3539.4</v>
      </c>
      <c r="AC19" s="38"/>
      <c r="AD19" s="38">
        <f t="shared" si="6"/>
        <v>141655.63650000002</v>
      </c>
      <c r="AE19" s="36"/>
      <c r="AF19" s="36"/>
      <c r="AG19" s="41"/>
      <c r="AI19" s="42"/>
      <c r="AJ19" s="43"/>
      <c r="AK19" s="43"/>
      <c r="AM19" s="42"/>
      <c r="AN19" s="65"/>
      <c r="AO19" s="43"/>
    </row>
    <row r="20" spans="1:41" ht="30">
      <c r="A20" s="33">
        <v>11</v>
      </c>
      <c r="B20" s="62" t="s">
        <v>62</v>
      </c>
      <c r="C20" s="45" t="s">
        <v>72</v>
      </c>
      <c r="D20" s="27" t="s">
        <v>36</v>
      </c>
      <c r="E20" s="33" t="s">
        <v>37</v>
      </c>
      <c r="F20" s="63"/>
      <c r="G20" s="63"/>
      <c r="H20" s="63" t="s">
        <v>58</v>
      </c>
      <c r="I20" s="46" t="s">
        <v>59</v>
      </c>
      <c r="J20" s="47" t="s">
        <v>67</v>
      </c>
      <c r="K20" s="35" t="s">
        <v>68</v>
      </c>
      <c r="L20" s="36">
        <v>17697</v>
      </c>
      <c r="M20" s="64">
        <v>1</v>
      </c>
      <c r="N20" s="36"/>
      <c r="O20" s="36">
        <v>4.7300000000000004</v>
      </c>
      <c r="P20" s="36">
        <f>L20*O20</f>
        <v>83706.810000000012</v>
      </c>
      <c r="Q20" s="37"/>
      <c r="R20" s="38"/>
      <c r="S20" s="39">
        <f>P20*1.5</f>
        <v>125560.21500000003</v>
      </c>
      <c r="T20" s="37">
        <f>IF(H14&gt;0,10%,0)</f>
        <v>0.1</v>
      </c>
      <c r="U20" s="38">
        <f>S20*T20*M20</f>
        <v>12556.021500000003</v>
      </c>
      <c r="V20" s="38">
        <f>S20-P20</f>
        <v>41853.405000000013</v>
      </c>
      <c r="W20" s="38">
        <f>V20*T20</f>
        <v>4185.3405000000012</v>
      </c>
      <c r="X20" s="38">
        <f>U20-W20</f>
        <v>8370.6810000000005</v>
      </c>
      <c r="Y20" s="38"/>
      <c r="Z20" s="48"/>
      <c r="AA20" s="36"/>
      <c r="AB20" s="38">
        <f t="shared" si="2"/>
        <v>3539.4</v>
      </c>
      <c r="AC20" s="38"/>
      <c r="AD20" s="38">
        <f t="shared" si="6"/>
        <v>141655.63650000002</v>
      </c>
      <c r="AE20" s="36"/>
      <c r="AF20" s="36"/>
      <c r="AG20" s="41"/>
      <c r="AI20" s="42"/>
      <c r="AJ20" s="43"/>
      <c r="AK20" s="43"/>
      <c r="AM20" s="42"/>
      <c r="AN20" s="65"/>
      <c r="AO20" s="43"/>
    </row>
    <row r="21" spans="1:41" ht="30">
      <c r="A21" s="33">
        <v>12</v>
      </c>
      <c r="B21" s="62" t="s">
        <v>62</v>
      </c>
      <c r="C21" s="45" t="s">
        <v>73</v>
      </c>
      <c r="D21" s="27" t="s">
        <v>36</v>
      </c>
      <c r="E21" s="33" t="s">
        <v>37</v>
      </c>
      <c r="F21" s="63"/>
      <c r="G21" s="63"/>
      <c r="H21" s="63" t="s">
        <v>58</v>
      </c>
      <c r="I21" s="46" t="s">
        <v>59</v>
      </c>
      <c r="J21" s="47" t="s">
        <v>67</v>
      </c>
      <c r="K21" s="35" t="s">
        <v>68</v>
      </c>
      <c r="L21" s="36">
        <v>17697</v>
      </c>
      <c r="M21" s="64">
        <v>1</v>
      </c>
      <c r="N21" s="36"/>
      <c r="O21" s="36">
        <v>4.7300000000000004</v>
      </c>
      <c r="P21" s="36">
        <f>L21*O21</f>
        <v>83706.810000000012</v>
      </c>
      <c r="Q21" s="37"/>
      <c r="R21" s="38"/>
      <c r="S21" s="39">
        <f t="shared" si="1"/>
        <v>125560.21500000003</v>
      </c>
      <c r="T21" s="37">
        <f>IF(H15&gt;0,10%,0)</f>
        <v>0.1</v>
      </c>
      <c r="U21" s="38">
        <f>S21*T21*M21</f>
        <v>12556.021500000003</v>
      </c>
      <c r="V21" s="38">
        <f t="shared" si="3"/>
        <v>41853.405000000013</v>
      </c>
      <c r="W21" s="38">
        <f t="shared" si="4"/>
        <v>4185.3405000000012</v>
      </c>
      <c r="X21" s="38">
        <f t="shared" si="5"/>
        <v>8370.6810000000005</v>
      </c>
      <c r="Y21" s="38"/>
      <c r="Z21" s="48"/>
      <c r="AA21" s="36"/>
      <c r="AB21" s="38">
        <f t="shared" si="2"/>
        <v>3539.4</v>
      </c>
      <c r="AC21" s="38"/>
      <c r="AD21" s="38">
        <f t="shared" si="6"/>
        <v>141655.63650000002</v>
      </c>
      <c r="AE21" s="36"/>
      <c r="AF21" s="36"/>
      <c r="AG21" s="41"/>
      <c r="AI21" s="42"/>
      <c r="AJ21" s="43"/>
      <c r="AK21" s="43"/>
      <c r="AM21" s="42"/>
      <c r="AN21" s="65"/>
      <c r="AO21" s="43"/>
    </row>
    <row r="22" spans="1:41" ht="45">
      <c r="A22" s="33">
        <v>13</v>
      </c>
      <c r="B22" s="62" t="s">
        <v>74</v>
      </c>
      <c r="C22" s="45" t="s">
        <v>75</v>
      </c>
      <c r="D22" s="27" t="s">
        <v>36</v>
      </c>
      <c r="E22" s="33" t="s">
        <v>76</v>
      </c>
      <c r="F22" s="63"/>
      <c r="G22" s="63"/>
      <c r="H22" s="63" t="s">
        <v>58</v>
      </c>
      <c r="I22" s="46" t="s">
        <v>59</v>
      </c>
      <c r="J22" s="47" t="s">
        <v>60</v>
      </c>
      <c r="K22" s="35" t="s">
        <v>49</v>
      </c>
      <c r="L22" s="36">
        <v>17697</v>
      </c>
      <c r="M22" s="64">
        <v>1</v>
      </c>
      <c r="N22" s="36" t="s">
        <v>77</v>
      </c>
      <c r="O22" s="36">
        <v>4.4400000000000004</v>
      </c>
      <c r="P22" s="36">
        <f>L22*O22</f>
        <v>78574.680000000008</v>
      </c>
      <c r="Q22" s="37"/>
      <c r="R22" s="38"/>
      <c r="S22" s="39">
        <f t="shared" si="1"/>
        <v>117862.02000000002</v>
      </c>
      <c r="T22" s="37">
        <f>IF(H11&gt;0,10%,0)</f>
        <v>0.1</v>
      </c>
      <c r="U22" s="38">
        <f>S22*T22*M22</f>
        <v>11786.202000000003</v>
      </c>
      <c r="V22" s="38">
        <f t="shared" si="3"/>
        <v>39287.340000000011</v>
      </c>
      <c r="W22" s="38">
        <f t="shared" si="4"/>
        <v>3928.7340000000013</v>
      </c>
      <c r="X22" s="38">
        <f t="shared" si="5"/>
        <v>7857.4680000000017</v>
      </c>
      <c r="Y22" s="38"/>
      <c r="Z22" s="48"/>
      <c r="AA22" s="36"/>
      <c r="AB22" s="38">
        <f t="shared" si="2"/>
        <v>3539.4</v>
      </c>
      <c r="AC22" s="38"/>
      <c r="AD22" s="38">
        <f t="shared" si="6"/>
        <v>133187.62200000003</v>
      </c>
      <c r="AE22" s="36"/>
      <c r="AF22" s="36"/>
      <c r="AG22" s="41"/>
      <c r="AI22" s="42"/>
      <c r="AJ22" s="43"/>
      <c r="AK22" s="43"/>
      <c r="AM22" s="42"/>
      <c r="AN22" s="65"/>
      <c r="AO22" s="43"/>
    </row>
    <row r="23" spans="1:41" ht="30">
      <c r="A23" s="33">
        <v>14</v>
      </c>
      <c r="B23" s="62" t="s">
        <v>78</v>
      </c>
      <c r="C23" s="45" t="s">
        <v>79</v>
      </c>
      <c r="D23" s="27" t="s">
        <v>80</v>
      </c>
      <c r="E23" s="33" t="s">
        <v>37</v>
      </c>
      <c r="F23" s="63"/>
      <c r="G23" s="63"/>
      <c r="H23" s="63" t="s">
        <v>58</v>
      </c>
      <c r="I23" s="46" t="s">
        <v>59</v>
      </c>
      <c r="J23" s="47" t="s">
        <v>81</v>
      </c>
      <c r="K23" s="35" t="s">
        <v>82</v>
      </c>
      <c r="L23" s="36">
        <v>17697</v>
      </c>
      <c r="M23" s="64">
        <v>1</v>
      </c>
      <c r="N23" s="36" t="s">
        <v>61</v>
      </c>
      <c r="O23" s="36">
        <v>4.53</v>
      </c>
      <c r="P23" s="36">
        <f>L23*O23</f>
        <v>80167.41</v>
      </c>
      <c r="Q23" s="37"/>
      <c r="R23" s="38"/>
      <c r="S23" s="39"/>
      <c r="T23" s="37">
        <f>IF(H12&gt;0,10%,0)</f>
        <v>0.1</v>
      </c>
      <c r="U23" s="38">
        <f>P23*T23*M23</f>
        <v>8016.7410000000009</v>
      </c>
      <c r="V23" s="38"/>
      <c r="W23" s="38">
        <f t="shared" si="4"/>
        <v>0</v>
      </c>
      <c r="X23" s="38">
        <f t="shared" si="5"/>
        <v>8016.7410000000009</v>
      </c>
      <c r="Y23" s="38"/>
      <c r="Z23" s="48"/>
      <c r="AA23" s="36"/>
      <c r="AB23" s="38"/>
      <c r="AC23" s="38"/>
      <c r="AD23" s="36">
        <f>U23+P23</f>
        <v>88184.150999999998</v>
      </c>
      <c r="AE23" s="36"/>
      <c r="AF23" s="36"/>
      <c r="AG23" s="41"/>
      <c r="AI23" s="42"/>
      <c r="AJ23" s="43"/>
      <c r="AK23" s="43"/>
      <c r="AM23" s="42"/>
      <c r="AN23" s="65"/>
      <c r="AO23" s="43"/>
    </row>
    <row r="24" spans="1:41" ht="30">
      <c r="A24" s="33">
        <v>15</v>
      </c>
      <c r="B24" s="62" t="s">
        <v>83</v>
      </c>
      <c r="C24" s="45" t="s">
        <v>84</v>
      </c>
      <c r="D24" s="27" t="s">
        <v>36</v>
      </c>
      <c r="E24" s="33" t="s">
        <v>85</v>
      </c>
      <c r="F24" s="63"/>
      <c r="G24" s="63"/>
      <c r="H24" s="63" t="s">
        <v>58</v>
      </c>
      <c r="I24" s="46" t="s">
        <v>48</v>
      </c>
      <c r="J24" s="47" t="s">
        <v>48</v>
      </c>
      <c r="K24" s="35" t="s">
        <v>49</v>
      </c>
      <c r="L24" s="36">
        <v>17697</v>
      </c>
      <c r="M24" s="64">
        <v>0.25</v>
      </c>
      <c r="N24" s="36"/>
      <c r="O24" s="36">
        <v>4.71</v>
      </c>
      <c r="P24" s="36">
        <f>L24*O24*M24</f>
        <v>20838.217499999999</v>
      </c>
      <c r="Q24" s="37"/>
      <c r="R24" s="38"/>
      <c r="S24" s="39"/>
      <c r="T24" s="37">
        <f>IF(H12&gt;0,10%,0)</f>
        <v>0.1</v>
      </c>
      <c r="U24" s="38">
        <f>P24*T24</f>
        <v>2083.8217500000001</v>
      </c>
      <c r="V24" s="38"/>
      <c r="W24" s="38">
        <f t="shared" si="4"/>
        <v>0</v>
      </c>
      <c r="X24" s="38">
        <f t="shared" si="5"/>
        <v>2083.8217500000001</v>
      </c>
      <c r="Y24" s="38"/>
      <c r="Z24" s="48"/>
      <c r="AA24" s="36"/>
      <c r="AB24" s="38"/>
      <c r="AC24" s="38"/>
      <c r="AD24" s="36">
        <f>U24+P24</f>
        <v>22922.039249999998</v>
      </c>
      <c r="AE24" s="36"/>
      <c r="AF24" s="36"/>
      <c r="AG24" s="41"/>
      <c r="AI24" s="42"/>
      <c r="AJ24" s="43"/>
      <c r="AK24" s="43"/>
      <c r="AM24" s="42"/>
      <c r="AN24" s="65"/>
      <c r="AO24" s="43"/>
    </row>
    <row r="25" spans="1:41" ht="30">
      <c r="A25" s="33">
        <v>16</v>
      </c>
      <c r="B25" s="62" t="s">
        <v>86</v>
      </c>
      <c r="C25" s="45" t="s">
        <v>87</v>
      </c>
      <c r="D25" s="27" t="s">
        <v>80</v>
      </c>
      <c r="E25" s="33" t="s">
        <v>37</v>
      </c>
      <c r="F25" s="63"/>
      <c r="G25" s="63"/>
      <c r="H25" s="63" t="s">
        <v>58</v>
      </c>
      <c r="I25" s="46" t="s">
        <v>59</v>
      </c>
      <c r="J25" s="47" t="s">
        <v>81</v>
      </c>
      <c r="K25" s="35" t="s">
        <v>88</v>
      </c>
      <c r="L25" s="36">
        <v>17697</v>
      </c>
      <c r="M25" s="64">
        <v>0.5</v>
      </c>
      <c r="N25" s="36"/>
      <c r="O25" s="36">
        <v>3.73</v>
      </c>
      <c r="P25" s="36">
        <f t="shared" ref="P25:P33" si="7">L25*O25*M25</f>
        <v>33004.904999999999</v>
      </c>
      <c r="Q25" s="37"/>
      <c r="R25" s="38"/>
      <c r="S25" s="39"/>
      <c r="T25" s="37">
        <f>IF(H12&gt;0,10%,0)</f>
        <v>0.1</v>
      </c>
      <c r="U25" s="38">
        <f>P25*T25</f>
        <v>3300.4904999999999</v>
      </c>
      <c r="V25" s="38"/>
      <c r="W25" s="38">
        <f t="shared" si="4"/>
        <v>0</v>
      </c>
      <c r="X25" s="38">
        <f t="shared" si="5"/>
        <v>3300.4904999999999</v>
      </c>
      <c r="Y25" s="38"/>
      <c r="Z25" s="48"/>
      <c r="AA25" s="36"/>
      <c r="AB25" s="38"/>
      <c r="AC25" s="38"/>
      <c r="AD25" s="36">
        <f>U25+P25</f>
        <v>36305.395499999999</v>
      </c>
      <c r="AE25" s="36"/>
      <c r="AF25" s="36"/>
      <c r="AG25" s="41"/>
      <c r="AI25" s="42"/>
      <c r="AJ25" s="43"/>
      <c r="AK25" s="43"/>
      <c r="AM25" s="42"/>
      <c r="AN25" s="65"/>
      <c r="AO25" s="43"/>
    </row>
    <row r="26" spans="1:41" ht="30">
      <c r="A26" s="33">
        <v>17</v>
      </c>
      <c r="B26" s="62" t="s">
        <v>86</v>
      </c>
      <c r="C26" s="45" t="s">
        <v>79</v>
      </c>
      <c r="D26" s="27" t="s">
        <v>80</v>
      </c>
      <c r="E26" s="33" t="s">
        <v>37</v>
      </c>
      <c r="F26" s="63"/>
      <c r="G26" s="63"/>
      <c r="H26" s="63" t="s">
        <v>58</v>
      </c>
      <c r="I26" s="46" t="s">
        <v>59</v>
      </c>
      <c r="J26" s="47" t="s">
        <v>81</v>
      </c>
      <c r="K26" s="35" t="s">
        <v>88</v>
      </c>
      <c r="L26" s="36">
        <v>17697</v>
      </c>
      <c r="M26" s="67">
        <v>0.5</v>
      </c>
      <c r="N26" s="36"/>
      <c r="O26" s="36">
        <v>3.73</v>
      </c>
      <c r="P26" s="36">
        <f t="shared" si="7"/>
        <v>33004.904999999999</v>
      </c>
      <c r="Q26" s="37"/>
      <c r="R26" s="38"/>
      <c r="S26" s="39"/>
      <c r="T26" s="37">
        <f>IF(H14&gt;0,10%,0)</f>
        <v>0.1</v>
      </c>
      <c r="U26" s="38">
        <f>P26*T26</f>
        <v>3300.4904999999999</v>
      </c>
      <c r="V26" s="38"/>
      <c r="W26" s="38">
        <f t="shared" si="4"/>
        <v>0</v>
      </c>
      <c r="X26" s="38">
        <f t="shared" si="5"/>
        <v>3300.4904999999999</v>
      </c>
      <c r="Y26" s="38"/>
      <c r="Z26" s="48"/>
      <c r="AA26" s="36"/>
      <c r="AB26" s="38"/>
      <c r="AC26" s="38"/>
      <c r="AD26" s="36">
        <f>U26+P26</f>
        <v>36305.395499999999</v>
      </c>
      <c r="AE26" s="36"/>
      <c r="AF26" s="36"/>
      <c r="AG26" s="41"/>
      <c r="AI26" s="42"/>
      <c r="AJ26" s="43"/>
      <c r="AK26" s="43"/>
      <c r="AM26" s="42"/>
      <c r="AN26" s="65"/>
      <c r="AO26" s="43"/>
    </row>
    <row r="27" spans="1:41" ht="45">
      <c r="A27" s="33">
        <v>18</v>
      </c>
      <c r="B27" s="62" t="s">
        <v>89</v>
      </c>
      <c r="C27" s="45" t="s">
        <v>90</v>
      </c>
      <c r="D27" s="27" t="s">
        <v>80</v>
      </c>
      <c r="E27" s="33" t="s">
        <v>91</v>
      </c>
      <c r="F27" s="27"/>
      <c r="G27" s="27"/>
      <c r="H27" s="27">
        <v>1</v>
      </c>
      <c r="I27" s="46" t="s">
        <v>59</v>
      </c>
      <c r="J27" s="47" t="s">
        <v>81</v>
      </c>
      <c r="K27" s="35" t="s">
        <v>92</v>
      </c>
      <c r="L27" s="36">
        <v>17697</v>
      </c>
      <c r="M27" s="64">
        <v>1.5</v>
      </c>
      <c r="N27" s="63" t="s">
        <v>93</v>
      </c>
      <c r="O27" s="36">
        <v>3.91</v>
      </c>
      <c r="P27" s="36">
        <f t="shared" si="7"/>
        <v>103792.905</v>
      </c>
      <c r="Q27" s="37">
        <f>IF(G27&gt;0,25%,0)</f>
        <v>0</v>
      </c>
      <c r="R27" s="38">
        <f>ROUND((P27+U27)*Q27,2)</f>
        <v>0</v>
      </c>
      <c r="S27" s="39">
        <f t="shared" ref="S27:S33" si="8">P27*1.5</f>
        <v>155689.35749999998</v>
      </c>
      <c r="T27" s="37">
        <f>IF(H16&gt;0,10%,0)</f>
        <v>0.1</v>
      </c>
      <c r="U27" s="38">
        <f>S27*10%</f>
        <v>15568.935749999999</v>
      </c>
      <c r="V27" s="38">
        <f>S27-P27</f>
        <v>51896.452499999985</v>
      </c>
      <c r="W27" s="38">
        <f>V27*T27</f>
        <v>5189.6452499999987</v>
      </c>
      <c r="X27" s="38">
        <f>U27-W27</f>
        <v>10379.290499999999</v>
      </c>
      <c r="Y27" s="38"/>
      <c r="Z27" s="48"/>
      <c r="AA27" s="36"/>
      <c r="AB27" s="38">
        <f>17697*20%*M27</f>
        <v>5309.1</v>
      </c>
      <c r="AC27" s="38"/>
      <c r="AD27" s="38">
        <f t="shared" si="6"/>
        <v>176567.39324999999</v>
      </c>
      <c r="AE27" s="36">
        <f>AD27*AG27%</f>
        <v>37620.861344990997</v>
      </c>
      <c r="AF27" s="36">
        <f>AD27-AE27</f>
        <v>138946.531905009</v>
      </c>
      <c r="AG27" s="41">
        <v>21.306799999999999</v>
      </c>
      <c r="AI27" s="42"/>
      <c r="AJ27" s="43"/>
      <c r="AK27" s="43"/>
      <c r="AL27" s="20"/>
      <c r="AM27" s="42" t="str">
        <f>B27</f>
        <v>Тулешбаева А.</v>
      </c>
      <c r="AN27" s="65">
        <f>M27</f>
        <v>1.5</v>
      </c>
      <c r="AO27" s="43">
        <f>AD27</f>
        <v>176567.39324999999</v>
      </c>
    </row>
    <row r="28" spans="1:41" ht="30">
      <c r="A28" s="33">
        <v>19</v>
      </c>
      <c r="B28" s="62" t="s">
        <v>62</v>
      </c>
      <c r="C28" s="45" t="s">
        <v>90</v>
      </c>
      <c r="D28" s="27" t="s">
        <v>36</v>
      </c>
      <c r="E28" s="33" t="s">
        <v>37</v>
      </c>
      <c r="F28" s="27"/>
      <c r="G28" s="27"/>
      <c r="H28" s="27">
        <v>1</v>
      </c>
      <c r="I28" s="46" t="s">
        <v>59</v>
      </c>
      <c r="J28" s="47" t="s">
        <v>60</v>
      </c>
      <c r="K28" s="35" t="s">
        <v>68</v>
      </c>
      <c r="L28" s="36">
        <v>17697</v>
      </c>
      <c r="M28" s="64">
        <v>0.5</v>
      </c>
      <c r="N28" s="63"/>
      <c r="O28" s="36">
        <v>4.7300000000000004</v>
      </c>
      <c r="P28" s="36">
        <f t="shared" si="7"/>
        <v>41853.405000000006</v>
      </c>
      <c r="Q28" s="37"/>
      <c r="R28" s="38"/>
      <c r="S28" s="39">
        <f t="shared" si="8"/>
        <v>62780.107500000013</v>
      </c>
      <c r="T28" s="37">
        <f>IF(H18&gt;0,10%,0)</f>
        <v>0.1</v>
      </c>
      <c r="U28" s="38">
        <f>S28*10%</f>
        <v>6278.0107500000013</v>
      </c>
      <c r="V28" s="38">
        <f>S28-P28</f>
        <v>20926.702500000007</v>
      </c>
      <c r="W28" s="38">
        <f>V28*T28</f>
        <v>2092.6702500000006</v>
      </c>
      <c r="X28" s="38">
        <f>U28-W28</f>
        <v>4185.3405000000002</v>
      </c>
      <c r="Y28" s="38"/>
      <c r="Z28" s="48"/>
      <c r="AA28" s="36"/>
      <c r="AB28" s="38">
        <f t="shared" ref="AB28:AB33" si="9">17697*20%*M28</f>
        <v>1769.7</v>
      </c>
      <c r="AC28" s="38"/>
      <c r="AD28" s="38">
        <f t="shared" si="6"/>
        <v>70827.818250000011</v>
      </c>
      <c r="AE28" s="36"/>
      <c r="AF28" s="36"/>
      <c r="AG28" s="41"/>
      <c r="AI28" s="42"/>
      <c r="AJ28" s="43"/>
      <c r="AK28" s="43"/>
      <c r="AL28" s="20"/>
      <c r="AM28" s="42"/>
      <c r="AN28" s="65"/>
      <c r="AO28" s="43"/>
    </row>
    <row r="29" spans="1:41">
      <c r="A29" s="33">
        <v>20</v>
      </c>
      <c r="B29" s="62" t="s">
        <v>94</v>
      </c>
      <c r="C29" s="45" t="s">
        <v>95</v>
      </c>
      <c r="D29" s="27" t="s">
        <v>36</v>
      </c>
      <c r="E29" s="33" t="s">
        <v>96</v>
      </c>
      <c r="F29" s="63"/>
      <c r="G29" s="63"/>
      <c r="H29" s="63" t="s">
        <v>58</v>
      </c>
      <c r="I29" s="46" t="s">
        <v>59</v>
      </c>
      <c r="J29" s="47" t="s">
        <v>60</v>
      </c>
      <c r="K29" s="35" t="s">
        <v>68</v>
      </c>
      <c r="L29" s="36">
        <v>17697</v>
      </c>
      <c r="M29" s="67">
        <v>1</v>
      </c>
      <c r="N29" s="36"/>
      <c r="O29" s="36">
        <v>3.71</v>
      </c>
      <c r="P29" s="36">
        <f>L29*O29*M29</f>
        <v>65655.87</v>
      </c>
      <c r="Q29" s="37"/>
      <c r="R29" s="38"/>
      <c r="S29" s="39">
        <f t="shared" si="8"/>
        <v>98483.804999999993</v>
      </c>
      <c r="T29" s="37">
        <f>IF(H22&gt;0,10%,0)</f>
        <v>0.1</v>
      </c>
      <c r="U29" s="38">
        <f>S29*T29*M29</f>
        <v>9848.3804999999993</v>
      </c>
      <c r="V29" s="38">
        <f t="shared" si="3"/>
        <v>32827.934999999998</v>
      </c>
      <c r="W29" s="38">
        <f t="shared" si="4"/>
        <v>3282.7934999999998</v>
      </c>
      <c r="X29" s="38">
        <f t="shared" si="5"/>
        <v>6565.5869999999995</v>
      </c>
      <c r="Y29" s="38"/>
      <c r="Z29" s="48"/>
      <c r="AA29" s="36"/>
      <c r="AB29" s="38">
        <f t="shared" si="9"/>
        <v>3539.4</v>
      </c>
      <c r="AC29" s="38"/>
      <c r="AD29" s="38">
        <f t="shared" si="6"/>
        <v>111871.58549999999</v>
      </c>
      <c r="AE29" s="36"/>
      <c r="AF29" s="36"/>
      <c r="AG29" s="41"/>
      <c r="AI29" s="42"/>
      <c r="AJ29" s="43"/>
      <c r="AK29" s="43"/>
      <c r="AM29" s="42"/>
      <c r="AN29" s="65"/>
      <c r="AO29" s="43"/>
    </row>
    <row r="30" spans="1:41">
      <c r="A30" s="33">
        <v>21</v>
      </c>
      <c r="B30" s="62" t="s">
        <v>97</v>
      </c>
      <c r="C30" s="45" t="s">
        <v>98</v>
      </c>
      <c r="D30" s="27" t="s">
        <v>36</v>
      </c>
      <c r="E30" s="33" t="s">
        <v>99</v>
      </c>
      <c r="F30" s="63"/>
      <c r="G30" s="63"/>
      <c r="H30" s="63" t="s">
        <v>58</v>
      </c>
      <c r="I30" s="46" t="s">
        <v>59</v>
      </c>
      <c r="J30" s="47" t="s">
        <v>60</v>
      </c>
      <c r="K30" s="35" t="s">
        <v>92</v>
      </c>
      <c r="L30" s="36">
        <v>17697</v>
      </c>
      <c r="M30" s="64">
        <v>1</v>
      </c>
      <c r="N30" s="36"/>
      <c r="O30" s="36">
        <v>3.58</v>
      </c>
      <c r="P30" s="36">
        <f>L30*O30*M30</f>
        <v>63355.26</v>
      </c>
      <c r="Q30" s="37"/>
      <c r="R30" s="38"/>
      <c r="S30" s="39">
        <f>P30*1.5</f>
        <v>95032.89</v>
      </c>
      <c r="T30" s="37">
        <f>IF(H23&gt;0,10%,0)</f>
        <v>0.1</v>
      </c>
      <c r="U30" s="38">
        <f>S30*T30</f>
        <v>9503.2890000000007</v>
      </c>
      <c r="V30" s="38">
        <f t="shared" si="3"/>
        <v>31677.629999999997</v>
      </c>
      <c r="W30" s="38">
        <f t="shared" si="4"/>
        <v>3167.7629999999999</v>
      </c>
      <c r="X30" s="38">
        <f t="shared" si="5"/>
        <v>6335.5260000000007</v>
      </c>
      <c r="Y30" s="38"/>
      <c r="Z30" s="48"/>
      <c r="AA30" s="36"/>
      <c r="AB30" s="38">
        <f t="shared" si="9"/>
        <v>3539.4</v>
      </c>
      <c r="AC30" s="38">
        <f>(17697*1*3.58*1.5)*30%</f>
        <v>28509.866999999998</v>
      </c>
      <c r="AD30" s="38">
        <f>S30+U30+AB30+AC30</f>
        <v>136585.446</v>
      </c>
      <c r="AE30" s="36"/>
      <c r="AF30" s="36"/>
      <c r="AG30" s="41"/>
      <c r="AI30" s="42"/>
      <c r="AJ30" s="43"/>
      <c r="AK30" s="43"/>
      <c r="AM30" s="42"/>
      <c r="AN30" s="65"/>
      <c r="AO30" s="43"/>
    </row>
    <row r="31" spans="1:41">
      <c r="A31" s="33">
        <v>22</v>
      </c>
      <c r="B31" s="62" t="s">
        <v>100</v>
      </c>
      <c r="C31" s="45" t="s">
        <v>95</v>
      </c>
      <c r="D31" s="27" t="s">
        <v>80</v>
      </c>
      <c r="E31" s="33" t="s">
        <v>101</v>
      </c>
      <c r="F31" s="63"/>
      <c r="G31" s="63"/>
      <c r="H31" s="63" t="s">
        <v>58</v>
      </c>
      <c r="I31" s="46" t="s">
        <v>59</v>
      </c>
      <c r="J31" s="47" t="s">
        <v>81</v>
      </c>
      <c r="K31" s="35" t="s">
        <v>92</v>
      </c>
      <c r="L31" s="36">
        <v>17697</v>
      </c>
      <c r="M31" s="64">
        <v>1</v>
      </c>
      <c r="N31" s="36"/>
      <c r="O31" s="36">
        <v>3.53</v>
      </c>
      <c r="P31" s="36">
        <f t="shared" si="7"/>
        <v>62470.409999999996</v>
      </c>
      <c r="Q31" s="37"/>
      <c r="R31" s="38"/>
      <c r="S31" s="39">
        <f t="shared" si="8"/>
        <v>93705.614999999991</v>
      </c>
      <c r="T31" s="37">
        <f>IF(H24&gt;0,10%,0)</f>
        <v>0.1</v>
      </c>
      <c r="U31" s="38">
        <f>S31*T31*M31</f>
        <v>9370.5614999999998</v>
      </c>
      <c r="V31" s="38">
        <f t="shared" si="3"/>
        <v>31235.204999999994</v>
      </c>
      <c r="W31" s="38">
        <f t="shared" si="4"/>
        <v>3123.5204999999996</v>
      </c>
      <c r="X31" s="38">
        <f t="shared" si="5"/>
        <v>6247.0410000000002</v>
      </c>
      <c r="Y31" s="38"/>
      <c r="Z31" s="48"/>
      <c r="AA31" s="36"/>
      <c r="AB31" s="38">
        <f t="shared" si="9"/>
        <v>3539.4</v>
      </c>
      <c r="AC31" s="38"/>
      <c r="AD31" s="38">
        <f t="shared" si="6"/>
        <v>106615.57649999998</v>
      </c>
      <c r="AE31" s="36"/>
      <c r="AF31" s="36"/>
      <c r="AG31" s="41"/>
      <c r="AI31" s="42"/>
      <c r="AJ31" s="43"/>
      <c r="AK31" s="43"/>
      <c r="AM31" s="42"/>
      <c r="AN31" s="65"/>
      <c r="AO31" s="43"/>
    </row>
    <row r="32" spans="1:41">
      <c r="A32" s="33">
        <v>23</v>
      </c>
      <c r="B32" s="62" t="s">
        <v>102</v>
      </c>
      <c r="C32" s="45" t="s">
        <v>103</v>
      </c>
      <c r="D32" s="27" t="s">
        <v>80</v>
      </c>
      <c r="E32" s="33" t="s">
        <v>104</v>
      </c>
      <c r="F32" s="63"/>
      <c r="G32" s="63"/>
      <c r="H32" s="63" t="s">
        <v>58</v>
      </c>
      <c r="I32" s="46" t="s">
        <v>59</v>
      </c>
      <c r="J32" s="47" t="s">
        <v>81</v>
      </c>
      <c r="K32" s="35" t="s">
        <v>68</v>
      </c>
      <c r="L32" s="36">
        <v>17697</v>
      </c>
      <c r="M32" s="64">
        <v>1</v>
      </c>
      <c r="N32" s="36"/>
      <c r="O32" s="36">
        <v>3.36</v>
      </c>
      <c r="P32" s="36">
        <f t="shared" si="7"/>
        <v>59461.919999999998</v>
      </c>
      <c r="Q32" s="37"/>
      <c r="R32" s="38"/>
      <c r="S32" s="39">
        <f t="shared" si="8"/>
        <v>89192.88</v>
      </c>
      <c r="T32" s="37">
        <f>IF(H25&gt;0,10%,0)</f>
        <v>0.1</v>
      </c>
      <c r="U32" s="38">
        <f>S32*T32*M32</f>
        <v>8919.2880000000005</v>
      </c>
      <c r="V32" s="38">
        <f t="shared" si="3"/>
        <v>29730.960000000006</v>
      </c>
      <c r="W32" s="38">
        <f t="shared" si="4"/>
        <v>2973.0960000000009</v>
      </c>
      <c r="X32" s="38">
        <f t="shared" si="5"/>
        <v>5946.1919999999991</v>
      </c>
      <c r="Y32" s="38"/>
      <c r="Z32" s="48"/>
      <c r="AA32" s="36"/>
      <c r="AB32" s="38">
        <f t="shared" si="9"/>
        <v>3539.4</v>
      </c>
      <c r="AC32" s="38"/>
      <c r="AD32" s="38">
        <f t="shared" si="6"/>
        <v>101651.568</v>
      </c>
      <c r="AE32" s="36"/>
      <c r="AF32" s="36"/>
      <c r="AG32" s="41"/>
      <c r="AI32" s="42"/>
      <c r="AJ32" s="43"/>
      <c r="AK32" s="43"/>
      <c r="AM32" s="42"/>
      <c r="AN32" s="65"/>
      <c r="AO32" s="43"/>
    </row>
    <row r="33" spans="1:41">
      <c r="A33" s="33">
        <v>24</v>
      </c>
      <c r="B33" s="62" t="s">
        <v>105</v>
      </c>
      <c r="C33" s="45" t="s">
        <v>95</v>
      </c>
      <c r="D33" s="27" t="s">
        <v>80</v>
      </c>
      <c r="E33" s="33" t="s">
        <v>106</v>
      </c>
      <c r="F33" s="63"/>
      <c r="G33" s="63"/>
      <c r="H33" s="63" t="s">
        <v>58</v>
      </c>
      <c r="I33" s="46" t="s">
        <v>59</v>
      </c>
      <c r="J33" s="47" t="s">
        <v>81</v>
      </c>
      <c r="K33" s="35" t="s">
        <v>68</v>
      </c>
      <c r="L33" s="36">
        <v>17697</v>
      </c>
      <c r="M33" s="64">
        <v>0.75</v>
      </c>
      <c r="N33" s="36"/>
      <c r="O33" s="36">
        <v>3.41</v>
      </c>
      <c r="P33" s="36">
        <f t="shared" si="7"/>
        <v>45260.077499999999</v>
      </c>
      <c r="Q33" s="37"/>
      <c r="R33" s="38"/>
      <c r="S33" s="39">
        <f t="shared" si="8"/>
        <v>67890.116249999992</v>
      </c>
      <c r="T33" s="37">
        <f>IF(H14&gt;0,10%,0)</f>
        <v>0.1</v>
      </c>
      <c r="U33" s="38">
        <f>S33*T33</f>
        <v>6789.0116249999992</v>
      </c>
      <c r="V33" s="38">
        <f t="shared" si="3"/>
        <v>22630.038749999992</v>
      </c>
      <c r="W33" s="38">
        <f t="shared" si="4"/>
        <v>2263.0038749999994</v>
      </c>
      <c r="X33" s="38">
        <f t="shared" si="5"/>
        <v>4526.0077499999998</v>
      </c>
      <c r="Y33" s="38"/>
      <c r="Z33" s="48"/>
      <c r="AA33" s="36"/>
      <c r="AB33" s="38">
        <f t="shared" si="9"/>
        <v>2654.55</v>
      </c>
      <c r="AC33" s="38"/>
      <c r="AD33" s="38">
        <f t="shared" si="6"/>
        <v>77333.677874999994</v>
      </c>
      <c r="AE33" s="36"/>
      <c r="AF33" s="36"/>
      <c r="AG33" s="41"/>
      <c r="AI33" s="42"/>
      <c r="AJ33" s="43"/>
      <c r="AK33" s="43"/>
      <c r="AM33" s="42"/>
      <c r="AN33" s="65"/>
      <c r="AO33" s="43"/>
    </row>
    <row r="34" spans="1:41" s="83" customFormat="1">
      <c r="A34" s="68"/>
      <c r="B34" s="69"/>
      <c r="C34" s="70"/>
      <c r="D34" s="68"/>
      <c r="E34" s="71"/>
      <c r="F34" s="72"/>
      <c r="G34" s="72"/>
      <c r="H34" s="72"/>
      <c r="I34" s="73"/>
      <c r="J34" s="74"/>
      <c r="K34" s="75"/>
      <c r="L34" s="76"/>
      <c r="M34" s="77"/>
      <c r="N34" s="76"/>
      <c r="O34" s="76"/>
      <c r="P34" s="76"/>
      <c r="Q34" s="78"/>
      <c r="R34" s="79"/>
      <c r="S34" s="80"/>
      <c r="T34" s="78"/>
      <c r="U34" s="79"/>
      <c r="V34" s="79"/>
      <c r="W34" s="79"/>
      <c r="X34" s="79"/>
      <c r="Y34" s="79"/>
      <c r="Z34" s="81"/>
      <c r="AA34" s="76"/>
      <c r="AB34" s="79"/>
      <c r="AC34" s="79"/>
      <c r="AD34" s="79"/>
      <c r="AE34" s="76"/>
      <c r="AF34" s="76"/>
      <c r="AG34" s="82"/>
      <c r="AI34" s="60"/>
      <c r="AJ34" s="61"/>
      <c r="AK34" s="61"/>
      <c r="AL34" s="84"/>
      <c r="AM34" s="60"/>
      <c r="AN34" s="85"/>
      <c r="AO34" s="61"/>
    </row>
    <row r="35" spans="1:41">
      <c r="A35" s="27">
        <v>25</v>
      </c>
      <c r="B35" s="62" t="s">
        <v>107</v>
      </c>
      <c r="C35" s="45" t="s">
        <v>108</v>
      </c>
      <c r="D35" s="27" t="s">
        <v>36</v>
      </c>
      <c r="E35" s="33" t="s">
        <v>109</v>
      </c>
      <c r="F35" s="27"/>
      <c r="G35" s="27"/>
      <c r="H35" s="27">
        <v>1</v>
      </c>
      <c r="I35" s="46" t="s">
        <v>59</v>
      </c>
      <c r="J35" s="47" t="s">
        <v>60</v>
      </c>
      <c r="K35" s="35" t="s">
        <v>58</v>
      </c>
      <c r="L35" s="36">
        <v>17697</v>
      </c>
      <c r="M35" s="64">
        <v>1.25</v>
      </c>
      <c r="N35" s="63" t="s">
        <v>61</v>
      </c>
      <c r="O35" s="36">
        <v>4.6900000000000004</v>
      </c>
      <c r="P35" s="36">
        <f t="shared" ref="P35:P56" si="10">L35*O35*M35</f>
        <v>103748.66250000001</v>
      </c>
      <c r="Q35" s="37">
        <f>IF(G35&gt;0,25%,0)</f>
        <v>0</v>
      </c>
      <c r="R35" s="38">
        <f>ROUND((P35+U35)*Q35,2)</f>
        <v>0</v>
      </c>
      <c r="S35" s="39">
        <f t="shared" ref="S35:S56" si="11">P35*1.5</f>
        <v>155622.99375000002</v>
      </c>
      <c r="T35" s="37">
        <f>IF(H35&gt;0,10%,0)</f>
        <v>0.1</v>
      </c>
      <c r="U35" s="38">
        <f>S35*10%</f>
        <v>15562.299375000002</v>
      </c>
      <c r="V35" s="38">
        <f>S35-P35</f>
        <v>51874.331250000017</v>
      </c>
      <c r="W35" s="38">
        <f>V35*T35</f>
        <v>5187.4331250000023</v>
      </c>
      <c r="X35" s="38">
        <f>U35-W35</f>
        <v>10374.866249999999</v>
      </c>
      <c r="Y35" s="38"/>
      <c r="Z35" s="48"/>
      <c r="AA35" s="36"/>
      <c r="AB35" s="38">
        <f>17697*20%*M35</f>
        <v>4424.25</v>
      </c>
      <c r="AC35" s="38"/>
      <c r="AD35" s="38">
        <f t="shared" si="6"/>
        <v>175609.54312500003</v>
      </c>
      <c r="AE35" s="36">
        <f>AD35*AG35%</f>
        <v>22940.050227961878</v>
      </c>
      <c r="AF35" s="36">
        <f>AD35-AE35</f>
        <v>152669.49289703814</v>
      </c>
      <c r="AG35" s="41">
        <v>13.0631</v>
      </c>
      <c r="AI35" s="42"/>
      <c r="AJ35" s="43"/>
      <c r="AK35" s="43"/>
      <c r="AL35" s="20"/>
      <c r="AM35" s="42"/>
      <c r="AN35" s="65"/>
      <c r="AO35" s="43"/>
    </row>
    <row r="36" spans="1:41">
      <c r="A36" s="27">
        <v>26</v>
      </c>
      <c r="B36" s="62" t="s">
        <v>110</v>
      </c>
      <c r="C36" s="45" t="s">
        <v>108</v>
      </c>
      <c r="D36" s="27" t="s">
        <v>80</v>
      </c>
      <c r="E36" s="27" t="s">
        <v>111</v>
      </c>
      <c r="F36" s="63"/>
      <c r="G36" s="63"/>
      <c r="H36" s="63" t="s">
        <v>58</v>
      </c>
      <c r="I36" s="47" t="s">
        <v>59</v>
      </c>
      <c r="J36" s="47" t="s">
        <v>81</v>
      </c>
      <c r="K36" s="35" t="s">
        <v>58</v>
      </c>
      <c r="L36" s="36">
        <v>17697</v>
      </c>
      <c r="M36" s="64">
        <v>1.25</v>
      </c>
      <c r="N36" s="36" t="s">
        <v>61</v>
      </c>
      <c r="O36" s="36">
        <v>4.28</v>
      </c>
      <c r="P36" s="36">
        <f t="shared" si="10"/>
        <v>94678.950000000012</v>
      </c>
      <c r="Q36" s="86"/>
      <c r="R36" s="36"/>
      <c r="S36" s="36">
        <f t="shared" si="11"/>
        <v>142018.42500000002</v>
      </c>
      <c r="T36" s="37">
        <f t="shared" ref="T36:T55" si="12">IF(H36&gt;0,10%,0)</f>
        <v>0.1</v>
      </c>
      <c r="U36" s="36">
        <f>S36*10%</f>
        <v>14201.842500000002</v>
      </c>
      <c r="V36" s="36">
        <f>S36-P36</f>
        <v>47339.475000000006</v>
      </c>
      <c r="W36" s="38">
        <f t="shared" ref="W36:W56" si="13">V36*T36</f>
        <v>4733.9475000000011</v>
      </c>
      <c r="X36" s="38">
        <f t="shared" ref="X36:X56" si="14">U36-W36</f>
        <v>9467.8950000000004</v>
      </c>
      <c r="Y36" s="36"/>
      <c r="Z36" s="48"/>
      <c r="AA36" s="36"/>
      <c r="AB36" s="38">
        <f t="shared" ref="AB36:AB57" si="15">17697*20%*M36</f>
        <v>4424.25</v>
      </c>
      <c r="AC36" s="36"/>
      <c r="AD36" s="38">
        <f t="shared" si="6"/>
        <v>160644.51750000002</v>
      </c>
      <c r="AE36" s="36"/>
      <c r="AF36" s="36"/>
      <c r="AG36" s="41"/>
      <c r="AJ36" s="20"/>
      <c r="AK36" s="20"/>
      <c r="AN36" s="88"/>
      <c r="AO36" s="20"/>
    </row>
    <row r="37" spans="1:41" ht="30">
      <c r="A37" s="27">
        <v>27</v>
      </c>
      <c r="B37" s="62" t="s">
        <v>112</v>
      </c>
      <c r="C37" s="45" t="s">
        <v>108</v>
      </c>
      <c r="D37" s="27" t="s">
        <v>80</v>
      </c>
      <c r="E37" s="27" t="s">
        <v>69</v>
      </c>
      <c r="F37" s="63"/>
      <c r="G37" s="63"/>
      <c r="H37" s="63" t="s">
        <v>58</v>
      </c>
      <c r="I37" s="47" t="s">
        <v>59</v>
      </c>
      <c r="J37" s="47" t="s">
        <v>81</v>
      </c>
      <c r="K37" s="35" t="s">
        <v>58</v>
      </c>
      <c r="L37" s="36">
        <v>17697</v>
      </c>
      <c r="M37" s="64">
        <v>1.25</v>
      </c>
      <c r="N37" s="36" t="s">
        <v>61</v>
      </c>
      <c r="O37" s="36">
        <v>4.5199999999999996</v>
      </c>
      <c r="P37" s="36">
        <f t="shared" si="10"/>
        <v>99988.049999999988</v>
      </c>
      <c r="Q37" s="86"/>
      <c r="R37" s="36"/>
      <c r="S37" s="36">
        <f t="shared" si="11"/>
        <v>149982.07499999998</v>
      </c>
      <c r="T37" s="37">
        <f t="shared" si="12"/>
        <v>0.1</v>
      </c>
      <c r="U37" s="36">
        <f t="shared" ref="U37:U56" si="16">S37*10%</f>
        <v>14998.207499999999</v>
      </c>
      <c r="V37" s="36">
        <f>S37-P37</f>
        <v>49994.024999999994</v>
      </c>
      <c r="W37" s="38">
        <f t="shared" si="13"/>
        <v>4999.4025000000001</v>
      </c>
      <c r="X37" s="38">
        <f t="shared" si="14"/>
        <v>9998.8049999999985</v>
      </c>
      <c r="Y37" s="36"/>
      <c r="Z37" s="48"/>
      <c r="AA37" s="36"/>
      <c r="AB37" s="38">
        <f t="shared" si="15"/>
        <v>4424.25</v>
      </c>
      <c r="AC37" s="36"/>
      <c r="AD37" s="38">
        <f t="shared" si="6"/>
        <v>169404.53249999997</v>
      </c>
      <c r="AE37" s="36"/>
      <c r="AF37" s="36"/>
      <c r="AG37" s="41"/>
      <c r="AJ37" s="20"/>
      <c r="AK37" s="20"/>
      <c r="AN37" s="88"/>
      <c r="AO37" s="20"/>
    </row>
    <row r="38" spans="1:41" ht="45">
      <c r="A38" s="27">
        <v>28</v>
      </c>
      <c r="B38" s="62" t="s">
        <v>113</v>
      </c>
      <c r="C38" s="45" t="s">
        <v>108</v>
      </c>
      <c r="D38" s="27" t="s">
        <v>36</v>
      </c>
      <c r="E38" s="27" t="s">
        <v>114</v>
      </c>
      <c r="F38" s="63"/>
      <c r="G38" s="63"/>
      <c r="H38" s="63" t="s">
        <v>58</v>
      </c>
      <c r="I38" s="47" t="s">
        <v>59</v>
      </c>
      <c r="J38" s="47" t="s">
        <v>60</v>
      </c>
      <c r="K38" s="35" t="s">
        <v>49</v>
      </c>
      <c r="L38" s="36">
        <v>17697</v>
      </c>
      <c r="M38" s="64">
        <v>1.25</v>
      </c>
      <c r="N38" s="36" t="s">
        <v>77</v>
      </c>
      <c r="O38" s="36">
        <v>4.3</v>
      </c>
      <c r="P38" s="36">
        <f t="shared" si="10"/>
        <v>95121.374999999985</v>
      </c>
      <c r="Q38" s="86"/>
      <c r="R38" s="36"/>
      <c r="S38" s="36">
        <f t="shared" si="11"/>
        <v>142682.06249999997</v>
      </c>
      <c r="T38" s="37">
        <f t="shared" si="12"/>
        <v>0.1</v>
      </c>
      <c r="U38" s="36">
        <f t="shared" si="16"/>
        <v>14268.206249999997</v>
      </c>
      <c r="V38" s="36">
        <f t="shared" ref="V38:V56" si="17">S38-P38</f>
        <v>47560.687499999985</v>
      </c>
      <c r="W38" s="38">
        <f t="shared" si="13"/>
        <v>4756.0687499999985</v>
      </c>
      <c r="X38" s="38">
        <f t="shared" si="14"/>
        <v>9512.1374999999989</v>
      </c>
      <c r="Y38" s="36"/>
      <c r="Z38" s="48"/>
      <c r="AA38" s="36"/>
      <c r="AB38" s="38">
        <f t="shared" si="15"/>
        <v>4424.25</v>
      </c>
      <c r="AC38" s="36"/>
      <c r="AD38" s="38">
        <f t="shared" si="6"/>
        <v>161374.51874999996</v>
      </c>
      <c r="AE38" s="36"/>
      <c r="AF38" s="36"/>
      <c r="AG38" s="41"/>
      <c r="AJ38" s="20"/>
      <c r="AK38" s="20"/>
      <c r="AN38" s="88"/>
      <c r="AO38" s="20"/>
    </row>
    <row r="39" spans="1:41" ht="45">
      <c r="A39" s="27">
        <v>29</v>
      </c>
      <c r="B39" s="62" t="s">
        <v>115</v>
      </c>
      <c r="C39" s="45" t="s">
        <v>108</v>
      </c>
      <c r="D39" s="27" t="s">
        <v>36</v>
      </c>
      <c r="E39" s="27" t="s">
        <v>91</v>
      </c>
      <c r="F39" s="63"/>
      <c r="G39" s="63"/>
      <c r="H39" s="63" t="s">
        <v>58</v>
      </c>
      <c r="I39" s="47" t="s">
        <v>59</v>
      </c>
      <c r="J39" s="47" t="s">
        <v>60</v>
      </c>
      <c r="K39" s="35" t="s">
        <v>92</v>
      </c>
      <c r="L39" s="36">
        <v>17697</v>
      </c>
      <c r="M39" s="64">
        <v>1.25</v>
      </c>
      <c r="N39" s="36" t="s">
        <v>93</v>
      </c>
      <c r="O39" s="36">
        <v>4.07</v>
      </c>
      <c r="P39" s="36">
        <f t="shared" si="10"/>
        <v>90033.487500000017</v>
      </c>
      <c r="Q39" s="86"/>
      <c r="R39" s="36"/>
      <c r="S39" s="36">
        <f t="shared" si="11"/>
        <v>135050.23125000001</v>
      </c>
      <c r="T39" s="37">
        <f t="shared" si="12"/>
        <v>0.1</v>
      </c>
      <c r="U39" s="36">
        <f t="shared" si="16"/>
        <v>13505.023125000002</v>
      </c>
      <c r="V39" s="36">
        <f t="shared" si="17"/>
        <v>45016.743749999994</v>
      </c>
      <c r="W39" s="38">
        <f t="shared" si="13"/>
        <v>4501.6743749999996</v>
      </c>
      <c r="X39" s="38">
        <f t="shared" si="14"/>
        <v>9003.348750000001</v>
      </c>
      <c r="Y39" s="36"/>
      <c r="Z39" s="48"/>
      <c r="AA39" s="36"/>
      <c r="AB39" s="38">
        <f t="shared" si="15"/>
        <v>4424.25</v>
      </c>
      <c r="AC39" s="36"/>
      <c r="AD39" s="38">
        <f t="shared" si="6"/>
        <v>152979.50437500002</v>
      </c>
      <c r="AE39" s="36"/>
      <c r="AF39" s="36"/>
      <c r="AG39" s="41"/>
      <c r="AJ39" s="20"/>
      <c r="AK39" s="20"/>
      <c r="AN39" s="88"/>
      <c r="AO39" s="20"/>
    </row>
    <row r="40" spans="1:41">
      <c r="A40" s="27">
        <v>30</v>
      </c>
      <c r="B40" s="62" t="s">
        <v>116</v>
      </c>
      <c r="C40" s="45" t="s">
        <v>108</v>
      </c>
      <c r="D40" s="27" t="s">
        <v>36</v>
      </c>
      <c r="E40" s="27" t="s">
        <v>117</v>
      </c>
      <c r="F40" s="63"/>
      <c r="G40" s="63"/>
      <c r="H40" s="63" t="s">
        <v>58</v>
      </c>
      <c r="I40" s="47" t="s">
        <v>59</v>
      </c>
      <c r="J40" s="47" t="s">
        <v>60</v>
      </c>
      <c r="K40" s="35" t="s">
        <v>58</v>
      </c>
      <c r="L40" s="36">
        <v>17697</v>
      </c>
      <c r="M40" s="64">
        <v>1.25</v>
      </c>
      <c r="N40" s="36" t="s">
        <v>61</v>
      </c>
      <c r="O40" s="36">
        <v>4.55</v>
      </c>
      <c r="P40" s="36">
        <f t="shared" si="10"/>
        <v>100651.68749999999</v>
      </c>
      <c r="Q40" s="86"/>
      <c r="R40" s="36"/>
      <c r="S40" s="36">
        <f t="shared" si="11"/>
        <v>150977.53124999997</v>
      </c>
      <c r="T40" s="37">
        <f t="shared" si="12"/>
        <v>0.1</v>
      </c>
      <c r="U40" s="36">
        <f t="shared" si="16"/>
        <v>15097.753124999997</v>
      </c>
      <c r="V40" s="36">
        <f t="shared" si="17"/>
        <v>50325.843749999985</v>
      </c>
      <c r="W40" s="38">
        <f t="shared" si="13"/>
        <v>5032.5843749999985</v>
      </c>
      <c r="X40" s="38">
        <f t="shared" si="14"/>
        <v>10065.168749999999</v>
      </c>
      <c r="Y40" s="36"/>
      <c r="Z40" s="48"/>
      <c r="AA40" s="36"/>
      <c r="AB40" s="38">
        <f t="shared" si="15"/>
        <v>4424.25</v>
      </c>
      <c r="AC40" s="36"/>
      <c r="AD40" s="38">
        <f t="shared" si="6"/>
        <v>170499.53437499996</v>
      </c>
      <c r="AE40" s="36"/>
      <c r="AF40" s="36"/>
      <c r="AG40" s="41"/>
      <c r="AJ40" s="20"/>
      <c r="AK40" s="20"/>
      <c r="AN40" s="88"/>
      <c r="AO40" s="20"/>
    </row>
    <row r="41" spans="1:41" ht="45">
      <c r="A41" s="27">
        <v>31</v>
      </c>
      <c r="B41" s="62" t="s">
        <v>118</v>
      </c>
      <c r="C41" s="45" t="s">
        <v>108</v>
      </c>
      <c r="D41" s="27" t="s">
        <v>36</v>
      </c>
      <c r="E41" s="27" t="s">
        <v>119</v>
      </c>
      <c r="F41" s="63"/>
      <c r="G41" s="63"/>
      <c r="H41" s="63" t="s">
        <v>58</v>
      </c>
      <c r="I41" s="47" t="s">
        <v>59</v>
      </c>
      <c r="J41" s="47" t="s">
        <v>60</v>
      </c>
      <c r="K41" s="35" t="s">
        <v>49</v>
      </c>
      <c r="L41" s="36">
        <v>17697</v>
      </c>
      <c r="M41" s="64">
        <v>1.25</v>
      </c>
      <c r="N41" s="36" t="s">
        <v>77</v>
      </c>
      <c r="O41" s="36">
        <v>4.2300000000000004</v>
      </c>
      <c r="P41" s="36">
        <f t="shared" si="10"/>
        <v>93572.887500000012</v>
      </c>
      <c r="Q41" s="86"/>
      <c r="R41" s="36"/>
      <c r="S41" s="36">
        <f t="shared" si="11"/>
        <v>140359.33125000002</v>
      </c>
      <c r="T41" s="37">
        <f t="shared" si="12"/>
        <v>0.1</v>
      </c>
      <c r="U41" s="36">
        <f t="shared" si="16"/>
        <v>14035.933125000003</v>
      </c>
      <c r="V41" s="36">
        <f t="shared" si="17"/>
        <v>46786.443750000006</v>
      </c>
      <c r="W41" s="38">
        <f t="shared" si="13"/>
        <v>4678.6443750000008</v>
      </c>
      <c r="X41" s="38">
        <f t="shared" si="14"/>
        <v>9357.2887500000033</v>
      </c>
      <c r="Y41" s="36"/>
      <c r="Z41" s="48"/>
      <c r="AA41" s="36"/>
      <c r="AB41" s="38">
        <f t="shared" si="15"/>
        <v>4424.25</v>
      </c>
      <c r="AC41" s="36"/>
      <c r="AD41" s="38">
        <f t="shared" si="6"/>
        <v>158819.51437500003</v>
      </c>
      <c r="AE41" s="36"/>
      <c r="AF41" s="36"/>
      <c r="AG41" s="41"/>
      <c r="AJ41" s="20"/>
      <c r="AK41" s="20"/>
      <c r="AN41" s="88"/>
      <c r="AO41" s="20"/>
    </row>
    <row r="42" spans="1:41" ht="45">
      <c r="A42" s="27">
        <v>32</v>
      </c>
      <c r="B42" s="62" t="s">
        <v>120</v>
      </c>
      <c r="C42" s="45" t="s">
        <v>108</v>
      </c>
      <c r="D42" s="27" t="s">
        <v>80</v>
      </c>
      <c r="E42" s="27" t="s">
        <v>121</v>
      </c>
      <c r="F42" s="63"/>
      <c r="G42" s="63"/>
      <c r="H42" s="63" t="s">
        <v>58</v>
      </c>
      <c r="I42" s="47" t="s">
        <v>59</v>
      </c>
      <c r="J42" s="47" t="s">
        <v>81</v>
      </c>
      <c r="K42" s="35" t="s">
        <v>49</v>
      </c>
      <c r="L42" s="36">
        <v>17697</v>
      </c>
      <c r="M42" s="64">
        <v>1.25</v>
      </c>
      <c r="N42" s="36" t="s">
        <v>77</v>
      </c>
      <c r="O42" s="36">
        <v>3.97</v>
      </c>
      <c r="P42" s="36">
        <f t="shared" si="10"/>
        <v>87821.362499999988</v>
      </c>
      <c r="Q42" s="86"/>
      <c r="R42" s="36"/>
      <c r="S42" s="36">
        <f t="shared" si="11"/>
        <v>131732.04374999998</v>
      </c>
      <c r="T42" s="37">
        <f t="shared" si="12"/>
        <v>0.1</v>
      </c>
      <c r="U42" s="36">
        <f t="shared" si="16"/>
        <v>13173.204374999999</v>
      </c>
      <c r="V42" s="36">
        <f t="shared" si="17"/>
        <v>43910.681249999994</v>
      </c>
      <c r="W42" s="38">
        <f t="shared" si="13"/>
        <v>4391.0681249999998</v>
      </c>
      <c r="X42" s="38">
        <f t="shared" si="14"/>
        <v>8782.1362499999996</v>
      </c>
      <c r="Y42" s="36"/>
      <c r="Z42" s="48"/>
      <c r="AA42" s="36"/>
      <c r="AB42" s="38">
        <f t="shared" si="15"/>
        <v>4424.25</v>
      </c>
      <c r="AC42" s="36"/>
      <c r="AD42" s="38">
        <f t="shared" si="6"/>
        <v>149329.49812499998</v>
      </c>
      <c r="AE42" s="36"/>
      <c r="AF42" s="36"/>
      <c r="AG42" s="41"/>
      <c r="AJ42" s="20"/>
      <c r="AK42" s="20"/>
      <c r="AN42" s="88"/>
      <c r="AO42" s="20"/>
    </row>
    <row r="43" spans="1:41" ht="45">
      <c r="A43" s="27">
        <v>33</v>
      </c>
      <c r="B43" s="62" t="s">
        <v>122</v>
      </c>
      <c r="C43" s="45" t="s">
        <v>108</v>
      </c>
      <c r="D43" s="27" t="s">
        <v>36</v>
      </c>
      <c r="E43" s="27" t="s">
        <v>123</v>
      </c>
      <c r="F43" s="63"/>
      <c r="G43" s="63"/>
      <c r="H43" s="63" t="s">
        <v>58</v>
      </c>
      <c r="I43" s="47" t="s">
        <v>59</v>
      </c>
      <c r="J43" s="47" t="s">
        <v>60</v>
      </c>
      <c r="K43" s="35" t="s">
        <v>49</v>
      </c>
      <c r="L43" s="36">
        <v>17697</v>
      </c>
      <c r="M43" s="64">
        <v>1.25</v>
      </c>
      <c r="N43" s="36" t="s">
        <v>77</v>
      </c>
      <c r="O43" s="36">
        <v>4.16</v>
      </c>
      <c r="P43" s="36">
        <f t="shared" si="10"/>
        <v>92024.400000000009</v>
      </c>
      <c r="Q43" s="86"/>
      <c r="R43" s="36"/>
      <c r="S43" s="36">
        <f t="shared" si="11"/>
        <v>138036.6</v>
      </c>
      <c r="T43" s="37">
        <f t="shared" si="12"/>
        <v>0.1</v>
      </c>
      <c r="U43" s="36">
        <f t="shared" si="16"/>
        <v>13803.660000000002</v>
      </c>
      <c r="V43" s="36">
        <f t="shared" si="17"/>
        <v>46012.2</v>
      </c>
      <c r="W43" s="38">
        <f t="shared" si="13"/>
        <v>4601.22</v>
      </c>
      <c r="X43" s="38">
        <f t="shared" si="14"/>
        <v>9202.4400000000023</v>
      </c>
      <c r="Y43" s="36"/>
      <c r="Z43" s="48"/>
      <c r="AA43" s="36"/>
      <c r="AB43" s="38">
        <f t="shared" si="15"/>
        <v>4424.25</v>
      </c>
      <c r="AC43" s="36"/>
      <c r="AD43" s="38">
        <f t="shared" si="6"/>
        <v>156264.51</v>
      </c>
      <c r="AE43" s="36"/>
      <c r="AF43" s="36"/>
      <c r="AG43" s="41"/>
      <c r="AJ43" s="20"/>
      <c r="AK43" s="20"/>
      <c r="AN43" s="88"/>
      <c r="AO43" s="20"/>
    </row>
    <row r="44" spans="1:41">
      <c r="A44" s="27">
        <v>34</v>
      </c>
      <c r="B44" s="62" t="s">
        <v>124</v>
      </c>
      <c r="C44" s="45" t="s">
        <v>125</v>
      </c>
      <c r="D44" s="27" t="s">
        <v>36</v>
      </c>
      <c r="E44" s="27" t="s">
        <v>126</v>
      </c>
      <c r="F44" s="63"/>
      <c r="G44" s="63"/>
      <c r="H44" s="63" t="s">
        <v>58</v>
      </c>
      <c r="I44" s="47" t="s">
        <v>59</v>
      </c>
      <c r="J44" s="47" t="s">
        <v>60</v>
      </c>
      <c r="K44" s="35" t="s">
        <v>58</v>
      </c>
      <c r="L44" s="36">
        <v>17697</v>
      </c>
      <c r="M44" s="64">
        <v>1.25</v>
      </c>
      <c r="N44" s="36"/>
      <c r="O44" s="36">
        <v>3.78</v>
      </c>
      <c r="P44" s="36">
        <f t="shared" si="10"/>
        <v>83618.325000000012</v>
      </c>
      <c r="Q44" s="86"/>
      <c r="R44" s="36"/>
      <c r="S44" s="36">
        <f t="shared" si="11"/>
        <v>125427.48750000002</v>
      </c>
      <c r="T44" s="37">
        <f t="shared" si="12"/>
        <v>0.1</v>
      </c>
      <c r="U44" s="36">
        <f t="shared" si="16"/>
        <v>12542.748750000002</v>
      </c>
      <c r="V44" s="36">
        <f t="shared" si="17"/>
        <v>41809.162500000006</v>
      </c>
      <c r="W44" s="38">
        <f t="shared" si="13"/>
        <v>4180.9162500000011</v>
      </c>
      <c r="X44" s="38">
        <f t="shared" si="14"/>
        <v>8361.8325000000004</v>
      </c>
      <c r="Y44" s="36"/>
      <c r="Z44" s="48"/>
      <c r="AA44" s="36"/>
      <c r="AB44" s="38">
        <f t="shared" si="15"/>
        <v>4424.25</v>
      </c>
      <c r="AC44" s="36">
        <f>(17697*1.25*3.78*1.5)*40%</f>
        <v>50170.994999999995</v>
      </c>
      <c r="AD44" s="38">
        <f t="shared" si="6"/>
        <v>192565.48125000001</v>
      </c>
      <c r="AE44" s="36"/>
      <c r="AF44" s="36"/>
      <c r="AG44" s="41"/>
      <c r="AJ44" s="20"/>
      <c r="AK44" s="20"/>
      <c r="AN44" s="88"/>
      <c r="AO44" s="20"/>
    </row>
    <row r="45" spans="1:41" ht="30">
      <c r="A45" s="27">
        <v>35</v>
      </c>
      <c r="B45" s="62" t="s">
        <v>127</v>
      </c>
      <c r="C45" s="45" t="s">
        <v>108</v>
      </c>
      <c r="D45" s="27" t="s">
        <v>36</v>
      </c>
      <c r="E45" s="27" t="s">
        <v>69</v>
      </c>
      <c r="F45" s="63"/>
      <c r="G45" s="63"/>
      <c r="H45" s="63" t="s">
        <v>58</v>
      </c>
      <c r="I45" s="47" t="s">
        <v>59</v>
      </c>
      <c r="J45" s="47" t="s">
        <v>60</v>
      </c>
      <c r="K45" s="35" t="s">
        <v>58</v>
      </c>
      <c r="L45" s="36">
        <v>17697</v>
      </c>
      <c r="M45" s="64">
        <v>1.25</v>
      </c>
      <c r="N45" s="36" t="s">
        <v>61</v>
      </c>
      <c r="O45" s="36">
        <v>4.75</v>
      </c>
      <c r="P45" s="36">
        <f t="shared" si="10"/>
        <v>105075.9375</v>
      </c>
      <c r="Q45" s="86"/>
      <c r="R45" s="36"/>
      <c r="S45" s="36">
        <f t="shared" si="11"/>
        <v>157613.90625</v>
      </c>
      <c r="T45" s="37">
        <f t="shared" si="12"/>
        <v>0.1</v>
      </c>
      <c r="U45" s="36">
        <f t="shared" si="16"/>
        <v>15761.390625</v>
      </c>
      <c r="V45" s="36">
        <f t="shared" si="17"/>
        <v>52537.96875</v>
      </c>
      <c r="W45" s="38">
        <f t="shared" si="13"/>
        <v>5253.796875</v>
      </c>
      <c r="X45" s="38">
        <f t="shared" si="14"/>
        <v>10507.59375</v>
      </c>
      <c r="Y45" s="36"/>
      <c r="Z45" s="48"/>
      <c r="AA45" s="36"/>
      <c r="AB45" s="38">
        <f t="shared" si="15"/>
        <v>4424.25</v>
      </c>
      <c r="AC45" s="36"/>
      <c r="AD45" s="38">
        <f t="shared" si="6"/>
        <v>177799.546875</v>
      </c>
      <c r="AE45" s="36"/>
      <c r="AF45" s="36"/>
      <c r="AG45" s="41"/>
      <c r="AJ45" s="20"/>
      <c r="AK45" s="20"/>
      <c r="AN45" s="88"/>
      <c r="AO45" s="20"/>
    </row>
    <row r="46" spans="1:41" ht="45">
      <c r="A46" s="27">
        <v>36</v>
      </c>
      <c r="B46" s="62" t="s">
        <v>128</v>
      </c>
      <c r="C46" s="45" t="s">
        <v>108</v>
      </c>
      <c r="D46" s="27" t="s">
        <v>80</v>
      </c>
      <c r="E46" s="27" t="s">
        <v>129</v>
      </c>
      <c r="F46" s="63"/>
      <c r="G46" s="63"/>
      <c r="H46" s="63" t="s">
        <v>58</v>
      </c>
      <c r="I46" s="47" t="s">
        <v>59</v>
      </c>
      <c r="J46" s="47" t="s">
        <v>81</v>
      </c>
      <c r="K46" s="35" t="s">
        <v>49</v>
      </c>
      <c r="L46" s="36">
        <v>17697</v>
      </c>
      <c r="M46" s="64">
        <v>1.25</v>
      </c>
      <c r="N46" s="36" t="s">
        <v>77</v>
      </c>
      <c r="O46" s="36">
        <v>4.04</v>
      </c>
      <c r="P46" s="36">
        <f t="shared" si="10"/>
        <v>89369.85</v>
      </c>
      <c r="Q46" s="86"/>
      <c r="R46" s="36"/>
      <c r="S46" s="36">
        <f t="shared" si="11"/>
        <v>134054.77500000002</v>
      </c>
      <c r="T46" s="37">
        <f t="shared" si="12"/>
        <v>0.1</v>
      </c>
      <c r="U46" s="36">
        <f t="shared" si="16"/>
        <v>13405.477500000003</v>
      </c>
      <c r="V46" s="36">
        <f t="shared" si="17"/>
        <v>44684.925000000017</v>
      </c>
      <c r="W46" s="38">
        <f t="shared" si="13"/>
        <v>4468.4925000000021</v>
      </c>
      <c r="X46" s="38">
        <f t="shared" si="14"/>
        <v>8936.9850000000006</v>
      </c>
      <c r="Y46" s="36"/>
      <c r="Z46" s="48"/>
      <c r="AA46" s="36"/>
      <c r="AB46" s="38">
        <f t="shared" si="15"/>
        <v>4424.25</v>
      </c>
      <c r="AC46" s="36"/>
      <c r="AD46" s="38">
        <f t="shared" si="6"/>
        <v>151884.50250000003</v>
      </c>
      <c r="AE46" s="36"/>
      <c r="AF46" s="36"/>
      <c r="AG46" s="41"/>
      <c r="AJ46" s="20"/>
      <c r="AK46" s="20"/>
      <c r="AN46" s="88"/>
      <c r="AO46" s="20"/>
    </row>
    <row r="47" spans="1:41" ht="45">
      <c r="A47" s="27">
        <v>37</v>
      </c>
      <c r="B47" s="62" t="s">
        <v>130</v>
      </c>
      <c r="C47" s="45" t="s">
        <v>108</v>
      </c>
      <c r="D47" s="27" t="s">
        <v>36</v>
      </c>
      <c r="E47" s="27" t="s">
        <v>131</v>
      </c>
      <c r="F47" s="63"/>
      <c r="G47" s="63"/>
      <c r="H47" s="63" t="s">
        <v>58</v>
      </c>
      <c r="I47" s="47" t="s">
        <v>59</v>
      </c>
      <c r="J47" s="47" t="s">
        <v>60</v>
      </c>
      <c r="K47" s="35" t="s">
        <v>49</v>
      </c>
      <c r="L47" s="36">
        <v>17697</v>
      </c>
      <c r="M47" s="64">
        <v>1.25</v>
      </c>
      <c r="N47" s="36" t="s">
        <v>77</v>
      </c>
      <c r="O47" s="36">
        <v>4.2300000000000004</v>
      </c>
      <c r="P47" s="36">
        <f t="shared" si="10"/>
        <v>93572.887500000012</v>
      </c>
      <c r="Q47" s="86"/>
      <c r="R47" s="36"/>
      <c r="S47" s="36">
        <f t="shared" si="11"/>
        <v>140359.33125000002</v>
      </c>
      <c r="T47" s="37">
        <f t="shared" si="12"/>
        <v>0.1</v>
      </c>
      <c r="U47" s="36">
        <f t="shared" si="16"/>
        <v>14035.933125000003</v>
      </c>
      <c r="V47" s="36">
        <f t="shared" si="17"/>
        <v>46786.443750000006</v>
      </c>
      <c r="W47" s="38">
        <f t="shared" si="13"/>
        <v>4678.6443750000008</v>
      </c>
      <c r="X47" s="38">
        <f t="shared" si="14"/>
        <v>9357.2887500000033</v>
      </c>
      <c r="Y47" s="36"/>
      <c r="Z47" s="48"/>
      <c r="AA47" s="36"/>
      <c r="AB47" s="38">
        <f t="shared" si="15"/>
        <v>4424.25</v>
      </c>
      <c r="AC47" s="36"/>
      <c r="AD47" s="38">
        <f>S47+U47+AB47+AC47</f>
        <v>158819.51437500003</v>
      </c>
      <c r="AE47" s="36"/>
      <c r="AF47" s="36"/>
      <c r="AG47" s="41"/>
      <c r="AJ47" s="20"/>
      <c r="AK47" s="20"/>
      <c r="AN47" s="88"/>
      <c r="AO47" s="20"/>
    </row>
    <row r="48" spans="1:41">
      <c r="A48" s="27">
        <v>38</v>
      </c>
      <c r="B48" s="62" t="s">
        <v>132</v>
      </c>
      <c r="C48" s="45" t="s">
        <v>108</v>
      </c>
      <c r="D48" s="27" t="s">
        <v>36</v>
      </c>
      <c r="E48" s="27" t="s">
        <v>133</v>
      </c>
      <c r="F48" s="63"/>
      <c r="G48" s="63"/>
      <c r="H48" s="63" t="s">
        <v>58</v>
      </c>
      <c r="I48" s="47" t="s">
        <v>59</v>
      </c>
      <c r="J48" s="47" t="s">
        <v>81</v>
      </c>
      <c r="K48" s="35" t="s">
        <v>92</v>
      </c>
      <c r="L48" s="36">
        <v>17697</v>
      </c>
      <c r="M48" s="64">
        <v>1.25</v>
      </c>
      <c r="N48" s="36"/>
      <c r="O48" s="36">
        <v>4.0599999999999996</v>
      </c>
      <c r="P48" s="36">
        <f t="shared" si="10"/>
        <v>89812.274999999994</v>
      </c>
      <c r="Q48" s="86"/>
      <c r="R48" s="36"/>
      <c r="S48" s="36">
        <f>P48*1.5</f>
        <v>134718.41249999998</v>
      </c>
      <c r="T48" s="37">
        <f t="shared" si="12"/>
        <v>0.1</v>
      </c>
      <c r="U48" s="36">
        <f t="shared" si="16"/>
        <v>13471.841249999998</v>
      </c>
      <c r="V48" s="36">
        <f t="shared" si="17"/>
        <v>44906.137499999983</v>
      </c>
      <c r="W48" s="38">
        <f t="shared" si="13"/>
        <v>4490.6137499999986</v>
      </c>
      <c r="X48" s="38">
        <f t="shared" si="14"/>
        <v>8981.2274999999991</v>
      </c>
      <c r="Y48" s="36"/>
      <c r="Z48" s="48"/>
      <c r="AA48" s="36"/>
      <c r="AB48" s="38">
        <f t="shared" si="15"/>
        <v>4424.25</v>
      </c>
      <c r="AC48" s="36"/>
      <c r="AD48" s="38">
        <f t="shared" ref="AD48:AD70" si="18">S48+U48+AB48+AC48</f>
        <v>152614.50374999997</v>
      </c>
      <c r="AE48" s="36"/>
      <c r="AF48" s="36"/>
      <c r="AG48" s="41"/>
      <c r="AJ48" s="20"/>
      <c r="AK48" s="20"/>
      <c r="AN48" s="88"/>
      <c r="AO48" s="20"/>
    </row>
    <row r="49" spans="1:41">
      <c r="A49" s="27">
        <v>39</v>
      </c>
      <c r="B49" s="62" t="s">
        <v>134</v>
      </c>
      <c r="C49" s="45" t="s">
        <v>108</v>
      </c>
      <c r="D49" s="27" t="s">
        <v>36</v>
      </c>
      <c r="E49" s="27" t="s">
        <v>99</v>
      </c>
      <c r="F49" s="63"/>
      <c r="G49" s="63"/>
      <c r="H49" s="63" t="s">
        <v>58</v>
      </c>
      <c r="I49" s="47" t="s">
        <v>59</v>
      </c>
      <c r="J49" s="47" t="s">
        <v>60</v>
      </c>
      <c r="K49" s="35" t="s">
        <v>68</v>
      </c>
      <c r="L49" s="36">
        <v>17697</v>
      </c>
      <c r="M49" s="64">
        <v>0.75</v>
      </c>
      <c r="N49" s="36"/>
      <c r="O49" s="36">
        <v>3.58</v>
      </c>
      <c r="P49" s="36">
        <f t="shared" si="10"/>
        <v>47516.445</v>
      </c>
      <c r="Q49" s="86"/>
      <c r="R49" s="36"/>
      <c r="S49" s="36">
        <f t="shared" si="11"/>
        <v>71274.667499999996</v>
      </c>
      <c r="T49" s="37">
        <f t="shared" si="12"/>
        <v>0.1</v>
      </c>
      <c r="U49" s="36">
        <f t="shared" si="16"/>
        <v>7127.4667499999996</v>
      </c>
      <c r="V49" s="36">
        <f t="shared" si="17"/>
        <v>23758.222499999996</v>
      </c>
      <c r="W49" s="38">
        <f t="shared" si="13"/>
        <v>2375.8222499999997</v>
      </c>
      <c r="X49" s="38">
        <f t="shared" si="14"/>
        <v>4751.6445000000003</v>
      </c>
      <c r="Y49" s="36"/>
      <c r="Z49" s="48"/>
      <c r="AA49" s="36"/>
      <c r="AB49" s="38">
        <f t="shared" si="15"/>
        <v>2654.55</v>
      </c>
      <c r="AC49" s="36"/>
      <c r="AD49" s="38">
        <f t="shared" si="18"/>
        <v>81056.684250000006</v>
      </c>
      <c r="AE49" s="36"/>
      <c r="AF49" s="36"/>
      <c r="AG49" s="41"/>
      <c r="AJ49" s="20"/>
      <c r="AK49" s="20"/>
      <c r="AN49" s="88"/>
      <c r="AO49" s="20"/>
    </row>
    <row r="50" spans="1:41" ht="30">
      <c r="A50" s="27">
        <v>40</v>
      </c>
      <c r="B50" s="62" t="s">
        <v>62</v>
      </c>
      <c r="C50" s="45" t="s">
        <v>108</v>
      </c>
      <c r="D50" s="27" t="s">
        <v>36</v>
      </c>
      <c r="E50" s="27" t="s">
        <v>69</v>
      </c>
      <c r="F50" s="63"/>
      <c r="G50" s="63"/>
      <c r="H50" s="63" t="s">
        <v>58</v>
      </c>
      <c r="I50" s="47" t="s">
        <v>59</v>
      </c>
      <c r="J50" s="47" t="s">
        <v>60</v>
      </c>
      <c r="K50" s="35" t="s">
        <v>68</v>
      </c>
      <c r="L50" s="36">
        <v>17697</v>
      </c>
      <c r="M50" s="64">
        <v>1.25</v>
      </c>
      <c r="N50" s="36"/>
      <c r="O50" s="36">
        <v>4.1900000000000004</v>
      </c>
      <c r="P50" s="36">
        <f t="shared" si="10"/>
        <v>92688.037500000006</v>
      </c>
      <c r="Q50" s="86"/>
      <c r="R50" s="36"/>
      <c r="S50" s="36">
        <f t="shared" si="11"/>
        <v>139032.05625000002</v>
      </c>
      <c r="T50" s="37">
        <f t="shared" si="12"/>
        <v>0.1</v>
      </c>
      <c r="U50" s="36">
        <f t="shared" si="16"/>
        <v>13903.205625000002</v>
      </c>
      <c r="V50" s="36">
        <f t="shared" si="17"/>
        <v>46344.018750000017</v>
      </c>
      <c r="W50" s="38">
        <f t="shared" si="13"/>
        <v>4634.4018750000023</v>
      </c>
      <c r="X50" s="38">
        <f t="shared" si="14"/>
        <v>9268.8037499999991</v>
      </c>
      <c r="Y50" s="36"/>
      <c r="Z50" s="48"/>
      <c r="AA50" s="36"/>
      <c r="AB50" s="38">
        <f t="shared" si="15"/>
        <v>4424.25</v>
      </c>
      <c r="AC50" s="36"/>
      <c r="AD50" s="38">
        <f t="shared" si="18"/>
        <v>157359.51187500003</v>
      </c>
      <c r="AE50" s="36"/>
      <c r="AF50" s="36"/>
      <c r="AG50" s="41"/>
      <c r="AJ50" s="20"/>
      <c r="AK50" s="20"/>
      <c r="AN50" s="88"/>
      <c r="AO50" s="20"/>
    </row>
    <row r="51" spans="1:41">
      <c r="A51" s="27">
        <v>41</v>
      </c>
      <c r="B51" s="62" t="s">
        <v>135</v>
      </c>
      <c r="C51" s="45" t="s">
        <v>108</v>
      </c>
      <c r="D51" s="27" t="s">
        <v>80</v>
      </c>
      <c r="E51" s="27" t="s">
        <v>136</v>
      </c>
      <c r="F51" s="63"/>
      <c r="G51" s="63"/>
      <c r="H51" s="63" t="s">
        <v>58</v>
      </c>
      <c r="I51" s="47" t="s">
        <v>59</v>
      </c>
      <c r="J51" s="47" t="s">
        <v>81</v>
      </c>
      <c r="K51" s="35" t="s">
        <v>68</v>
      </c>
      <c r="L51" s="36">
        <v>17697</v>
      </c>
      <c r="M51" s="64">
        <v>1.25</v>
      </c>
      <c r="N51" s="36"/>
      <c r="O51" s="36">
        <v>3.36</v>
      </c>
      <c r="P51" s="36">
        <f t="shared" si="10"/>
        <v>74327.399999999994</v>
      </c>
      <c r="Q51" s="86"/>
      <c r="R51" s="36"/>
      <c r="S51" s="36">
        <f t="shared" si="11"/>
        <v>111491.09999999999</v>
      </c>
      <c r="T51" s="37">
        <f t="shared" si="12"/>
        <v>0.1</v>
      </c>
      <c r="U51" s="36">
        <f t="shared" si="16"/>
        <v>11149.11</v>
      </c>
      <c r="V51" s="36">
        <f t="shared" si="17"/>
        <v>37163.699999999997</v>
      </c>
      <c r="W51" s="38">
        <f t="shared" si="13"/>
        <v>3716.37</v>
      </c>
      <c r="X51" s="38">
        <f t="shared" si="14"/>
        <v>7432.7400000000007</v>
      </c>
      <c r="Y51" s="36"/>
      <c r="Z51" s="48"/>
      <c r="AA51" s="36"/>
      <c r="AB51" s="38">
        <f t="shared" si="15"/>
        <v>4424.25</v>
      </c>
      <c r="AC51" s="36"/>
      <c r="AD51" s="38">
        <f t="shared" si="18"/>
        <v>127064.45999999999</v>
      </c>
      <c r="AE51" s="36"/>
      <c r="AF51" s="36"/>
      <c r="AG51" s="41"/>
      <c r="AJ51" s="20"/>
      <c r="AK51" s="20"/>
      <c r="AN51" s="88"/>
      <c r="AO51" s="20"/>
    </row>
    <row r="52" spans="1:41" ht="30">
      <c r="A52" s="27">
        <v>42</v>
      </c>
      <c r="B52" s="62" t="s">
        <v>62</v>
      </c>
      <c r="C52" s="45" t="s">
        <v>108</v>
      </c>
      <c r="D52" s="27" t="s">
        <v>36</v>
      </c>
      <c r="E52" s="27" t="s">
        <v>69</v>
      </c>
      <c r="F52" s="63"/>
      <c r="G52" s="63"/>
      <c r="H52" s="63" t="s">
        <v>58</v>
      </c>
      <c r="I52" s="47" t="s">
        <v>59</v>
      </c>
      <c r="J52" s="47" t="s">
        <v>60</v>
      </c>
      <c r="K52" s="35" t="s">
        <v>68</v>
      </c>
      <c r="L52" s="36">
        <v>17697</v>
      </c>
      <c r="M52" s="64">
        <v>1.25</v>
      </c>
      <c r="N52" s="36"/>
      <c r="O52" s="36">
        <v>4.1900000000000004</v>
      </c>
      <c r="P52" s="36">
        <f t="shared" si="10"/>
        <v>92688.037500000006</v>
      </c>
      <c r="Q52" s="86"/>
      <c r="R52" s="36"/>
      <c r="S52" s="36">
        <f t="shared" si="11"/>
        <v>139032.05625000002</v>
      </c>
      <c r="T52" s="37">
        <f t="shared" si="12"/>
        <v>0.1</v>
      </c>
      <c r="U52" s="36">
        <f t="shared" si="16"/>
        <v>13903.205625000002</v>
      </c>
      <c r="V52" s="36">
        <f t="shared" si="17"/>
        <v>46344.018750000017</v>
      </c>
      <c r="W52" s="38">
        <f t="shared" si="13"/>
        <v>4634.4018750000023</v>
      </c>
      <c r="X52" s="38">
        <f t="shared" si="14"/>
        <v>9268.8037499999991</v>
      </c>
      <c r="Y52" s="36"/>
      <c r="Z52" s="48"/>
      <c r="AA52" s="36"/>
      <c r="AB52" s="38">
        <f t="shared" si="15"/>
        <v>4424.25</v>
      </c>
      <c r="AC52" s="36"/>
      <c r="AD52" s="38">
        <f t="shared" si="18"/>
        <v>157359.51187500003</v>
      </c>
      <c r="AE52" s="36"/>
      <c r="AF52" s="36"/>
      <c r="AG52" s="41"/>
      <c r="AJ52" s="20"/>
      <c r="AK52" s="20"/>
      <c r="AN52" s="88"/>
      <c r="AO52" s="20"/>
    </row>
    <row r="53" spans="1:41" ht="45">
      <c r="A53" s="27">
        <v>43</v>
      </c>
      <c r="B53" s="62" t="s">
        <v>137</v>
      </c>
      <c r="C53" s="45" t="s">
        <v>108</v>
      </c>
      <c r="D53" s="27" t="s">
        <v>80</v>
      </c>
      <c r="E53" s="27" t="s">
        <v>138</v>
      </c>
      <c r="F53" s="63"/>
      <c r="G53" s="63"/>
      <c r="H53" s="63" t="s">
        <v>58</v>
      </c>
      <c r="I53" s="47" t="s">
        <v>59</v>
      </c>
      <c r="J53" s="47" t="s">
        <v>81</v>
      </c>
      <c r="K53" s="35" t="s">
        <v>92</v>
      </c>
      <c r="L53" s="36">
        <v>17697</v>
      </c>
      <c r="M53" s="64">
        <v>1.25</v>
      </c>
      <c r="N53" s="36" t="s">
        <v>93</v>
      </c>
      <c r="O53" s="36">
        <v>3.91</v>
      </c>
      <c r="P53" s="36">
        <f t="shared" si="10"/>
        <v>86494.087500000009</v>
      </c>
      <c r="Q53" s="86"/>
      <c r="R53" s="36"/>
      <c r="S53" s="36">
        <f t="shared" si="11"/>
        <v>129741.13125000001</v>
      </c>
      <c r="T53" s="37">
        <f t="shared" si="12"/>
        <v>0.1</v>
      </c>
      <c r="U53" s="36">
        <f t="shared" si="16"/>
        <v>12974.113125000002</v>
      </c>
      <c r="V53" s="36">
        <f t="shared" si="17"/>
        <v>43247.043749999997</v>
      </c>
      <c r="W53" s="38">
        <f t="shared" si="13"/>
        <v>4324.7043750000003</v>
      </c>
      <c r="X53" s="38">
        <f t="shared" si="14"/>
        <v>8649.4087500000023</v>
      </c>
      <c r="Y53" s="36"/>
      <c r="Z53" s="48"/>
      <c r="AA53" s="36"/>
      <c r="AB53" s="38">
        <f t="shared" si="15"/>
        <v>4424.25</v>
      </c>
      <c r="AC53" s="36"/>
      <c r="AD53" s="38">
        <f t="shared" si="18"/>
        <v>147139.49437500001</v>
      </c>
      <c r="AE53" s="36"/>
      <c r="AF53" s="36"/>
      <c r="AG53" s="41"/>
      <c r="AJ53" s="20"/>
      <c r="AK53" s="20"/>
      <c r="AN53" s="88"/>
      <c r="AO53" s="20"/>
    </row>
    <row r="54" spans="1:41" ht="45">
      <c r="A54" s="27">
        <v>44</v>
      </c>
      <c r="B54" s="62" t="s">
        <v>139</v>
      </c>
      <c r="C54" s="45" t="s">
        <v>108</v>
      </c>
      <c r="D54" s="27" t="s">
        <v>36</v>
      </c>
      <c r="E54" s="27" t="s">
        <v>140</v>
      </c>
      <c r="F54" s="63"/>
      <c r="G54" s="63"/>
      <c r="H54" s="63" t="s">
        <v>58</v>
      </c>
      <c r="I54" s="47" t="s">
        <v>59</v>
      </c>
      <c r="J54" s="47" t="s">
        <v>60</v>
      </c>
      <c r="K54" s="35" t="s">
        <v>49</v>
      </c>
      <c r="L54" s="36">
        <v>17697</v>
      </c>
      <c r="M54" s="64">
        <v>1.25</v>
      </c>
      <c r="N54" s="36" t="s">
        <v>77</v>
      </c>
      <c r="O54" s="36">
        <v>4.2300000000000004</v>
      </c>
      <c r="P54" s="36">
        <f t="shared" si="10"/>
        <v>93572.887500000012</v>
      </c>
      <c r="Q54" s="86"/>
      <c r="R54" s="36"/>
      <c r="S54" s="36">
        <f t="shared" si="11"/>
        <v>140359.33125000002</v>
      </c>
      <c r="T54" s="37">
        <f t="shared" si="12"/>
        <v>0.1</v>
      </c>
      <c r="U54" s="36">
        <f t="shared" si="16"/>
        <v>14035.933125000003</v>
      </c>
      <c r="V54" s="36">
        <f t="shared" si="17"/>
        <v>46786.443750000006</v>
      </c>
      <c r="W54" s="38">
        <f t="shared" si="13"/>
        <v>4678.6443750000008</v>
      </c>
      <c r="X54" s="38">
        <f t="shared" si="14"/>
        <v>9357.2887500000033</v>
      </c>
      <c r="Y54" s="36"/>
      <c r="Z54" s="48"/>
      <c r="AA54" s="36"/>
      <c r="AB54" s="38">
        <f t="shared" si="15"/>
        <v>4424.25</v>
      </c>
      <c r="AC54" s="36"/>
      <c r="AD54" s="38">
        <f t="shared" si="18"/>
        <v>158819.51437500003</v>
      </c>
      <c r="AE54" s="36"/>
      <c r="AF54" s="36"/>
      <c r="AG54" s="41"/>
      <c r="AJ54" s="20"/>
      <c r="AK54" s="20"/>
      <c r="AN54" s="88"/>
      <c r="AO54" s="20"/>
    </row>
    <row r="55" spans="1:41">
      <c r="A55" s="27">
        <v>45</v>
      </c>
      <c r="B55" s="62" t="s">
        <v>141</v>
      </c>
      <c r="C55" s="45" t="s">
        <v>108</v>
      </c>
      <c r="D55" s="27" t="s">
        <v>80</v>
      </c>
      <c r="E55" s="27" t="s">
        <v>142</v>
      </c>
      <c r="F55" s="63"/>
      <c r="G55" s="63"/>
      <c r="H55" s="63" t="s">
        <v>58</v>
      </c>
      <c r="I55" s="47" t="s">
        <v>59</v>
      </c>
      <c r="J55" s="47" t="s">
        <v>81</v>
      </c>
      <c r="K55" s="35" t="s">
        <v>68</v>
      </c>
      <c r="L55" s="36">
        <v>17697</v>
      </c>
      <c r="M55" s="64">
        <v>1.25</v>
      </c>
      <c r="N55" s="36"/>
      <c r="O55" s="36">
        <v>3.32</v>
      </c>
      <c r="P55" s="36">
        <f t="shared" si="10"/>
        <v>73442.549999999988</v>
      </c>
      <c r="Q55" s="86"/>
      <c r="R55" s="36"/>
      <c r="S55" s="36">
        <f t="shared" si="11"/>
        <v>110163.82499999998</v>
      </c>
      <c r="T55" s="37">
        <f t="shared" si="12"/>
        <v>0.1</v>
      </c>
      <c r="U55" s="36">
        <f t="shared" si="16"/>
        <v>11016.3825</v>
      </c>
      <c r="V55" s="36">
        <f t="shared" si="17"/>
        <v>36721.274999999994</v>
      </c>
      <c r="W55" s="38">
        <f t="shared" si="13"/>
        <v>3672.1274999999996</v>
      </c>
      <c r="X55" s="38">
        <f t="shared" si="14"/>
        <v>7344.2550000000001</v>
      </c>
      <c r="Y55" s="36"/>
      <c r="Z55" s="48"/>
      <c r="AA55" s="36"/>
      <c r="AB55" s="38">
        <f t="shared" si="15"/>
        <v>4424.25</v>
      </c>
      <c r="AC55" s="36"/>
      <c r="AD55" s="38">
        <f t="shared" si="18"/>
        <v>125604.45749999999</v>
      </c>
      <c r="AE55" s="36"/>
      <c r="AF55" s="36"/>
      <c r="AG55" s="41"/>
      <c r="AJ55" s="20"/>
      <c r="AK55" s="20"/>
      <c r="AN55" s="88"/>
      <c r="AO55" s="20"/>
    </row>
    <row r="56" spans="1:41" ht="45">
      <c r="A56" s="27">
        <v>46</v>
      </c>
      <c r="B56" s="62" t="s">
        <v>143</v>
      </c>
      <c r="C56" s="45" t="s">
        <v>108</v>
      </c>
      <c r="D56" s="27" t="s">
        <v>36</v>
      </c>
      <c r="E56" s="27" t="s">
        <v>144</v>
      </c>
      <c r="F56" s="63"/>
      <c r="G56" s="63"/>
      <c r="H56" s="63" t="s">
        <v>58</v>
      </c>
      <c r="I56" s="47" t="s">
        <v>59</v>
      </c>
      <c r="J56" s="47" t="s">
        <v>60</v>
      </c>
      <c r="K56" s="35" t="s">
        <v>49</v>
      </c>
      <c r="L56" s="36">
        <v>17697</v>
      </c>
      <c r="M56" s="64">
        <v>1.25</v>
      </c>
      <c r="N56" s="36" t="s">
        <v>77</v>
      </c>
      <c r="O56" s="36">
        <v>4.16</v>
      </c>
      <c r="P56" s="36">
        <f t="shared" si="10"/>
        <v>92024.400000000009</v>
      </c>
      <c r="Q56" s="86"/>
      <c r="R56" s="36"/>
      <c r="S56" s="36">
        <f t="shared" si="11"/>
        <v>138036.6</v>
      </c>
      <c r="T56" s="37">
        <f>IF(H56&gt;0,10%,0)</f>
        <v>0.1</v>
      </c>
      <c r="U56" s="36">
        <f t="shared" si="16"/>
        <v>13803.660000000002</v>
      </c>
      <c r="V56" s="36">
        <f t="shared" si="17"/>
        <v>46012.2</v>
      </c>
      <c r="W56" s="38">
        <f t="shared" si="13"/>
        <v>4601.22</v>
      </c>
      <c r="X56" s="38">
        <f t="shared" si="14"/>
        <v>9202.4400000000023</v>
      </c>
      <c r="Y56" s="36"/>
      <c r="Z56" s="48"/>
      <c r="AA56" s="36"/>
      <c r="AB56" s="38">
        <f t="shared" si="15"/>
        <v>4424.25</v>
      </c>
      <c r="AC56" s="36"/>
      <c r="AD56" s="38">
        <f t="shared" si="18"/>
        <v>156264.51</v>
      </c>
      <c r="AE56" s="36"/>
      <c r="AF56" s="36"/>
      <c r="AG56" s="41"/>
      <c r="AJ56" s="20"/>
      <c r="AK56" s="20"/>
      <c r="AN56" s="88"/>
      <c r="AO56" s="20"/>
    </row>
    <row r="57" spans="1:41" ht="30">
      <c r="A57" s="27">
        <v>47</v>
      </c>
      <c r="B57" s="62" t="s">
        <v>62</v>
      </c>
      <c r="C57" s="45" t="s">
        <v>108</v>
      </c>
      <c r="D57" s="27" t="s">
        <v>36</v>
      </c>
      <c r="E57" s="27" t="s">
        <v>69</v>
      </c>
      <c r="F57" s="63"/>
      <c r="G57" s="63"/>
      <c r="H57" s="63" t="s">
        <v>58</v>
      </c>
      <c r="I57" s="47" t="s">
        <v>59</v>
      </c>
      <c r="J57" s="47" t="s">
        <v>60</v>
      </c>
      <c r="K57" s="35" t="s">
        <v>68</v>
      </c>
      <c r="L57" s="36">
        <v>17697</v>
      </c>
      <c r="M57" s="64">
        <v>0.5</v>
      </c>
      <c r="N57" s="36"/>
      <c r="O57" s="36">
        <v>4.1900000000000004</v>
      </c>
      <c r="P57" s="36">
        <f>L57*O57*M57</f>
        <v>37075.215000000004</v>
      </c>
      <c r="Q57" s="86"/>
      <c r="R57" s="36"/>
      <c r="S57" s="36">
        <f>P57*1.5</f>
        <v>55612.822500000009</v>
      </c>
      <c r="T57" s="37">
        <f>IF(H57&gt;0,10%,0)</f>
        <v>0.1</v>
      </c>
      <c r="U57" s="36">
        <f>S57*10%</f>
        <v>5561.2822500000011</v>
      </c>
      <c r="V57" s="36">
        <f>S57-P57</f>
        <v>18537.607500000006</v>
      </c>
      <c r="W57" s="38">
        <f>V57*T57</f>
        <v>1853.7607500000006</v>
      </c>
      <c r="X57" s="38">
        <f>U57-W57</f>
        <v>3707.5215000000007</v>
      </c>
      <c r="Y57" s="36"/>
      <c r="Z57" s="48"/>
      <c r="AA57" s="36"/>
      <c r="AB57" s="38">
        <f t="shared" si="15"/>
        <v>1769.7</v>
      </c>
      <c r="AC57" s="36"/>
      <c r="AD57" s="38">
        <f>S57+U57+AB57+AC57</f>
        <v>62943.80475000001</v>
      </c>
      <c r="AE57" s="36"/>
      <c r="AF57" s="36"/>
      <c r="AG57" s="41"/>
      <c r="AJ57" s="20"/>
      <c r="AK57" s="20"/>
      <c r="AN57" s="88"/>
      <c r="AO57" s="20"/>
    </row>
    <row r="58" spans="1:41" s="83" customFormat="1">
      <c r="A58" s="68"/>
      <c r="B58" s="69"/>
      <c r="C58" s="70"/>
      <c r="D58" s="68"/>
      <c r="E58" s="68"/>
      <c r="F58" s="72"/>
      <c r="G58" s="72"/>
      <c r="H58" s="72"/>
      <c r="I58" s="74"/>
      <c r="J58" s="74"/>
      <c r="K58" s="75"/>
      <c r="L58" s="76"/>
      <c r="M58" s="77"/>
      <c r="N58" s="76"/>
      <c r="O58" s="76"/>
      <c r="P58" s="76"/>
      <c r="Q58" s="89"/>
      <c r="R58" s="76"/>
      <c r="S58" s="76"/>
      <c r="T58" s="78"/>
      <c r="U58" s="76"/>
      <c r="V58" s="76"/>
      <c r="W58" s="79"/>
      <c r="X58" s="79"/>
      <c r="Y58" s="76"/>
      <c r="Z58" s="81"/>
      <c r="AA58" s="76"/>
      <c r="AB58" s="76"/>
      <c r="AC58" s="76"/>
      <c r="AD58" s="79">
        <f t="shared" si="18"/>
        <v>0</v>
      </c>
      <c r="AE58" s="76"/>
      <c r="AF58" s="76"/>
      <c r="AG58" s="82"/>
      <c r="AI58" s="84"/>
      <c r="AJ58" s="90"/>
      <c r="AK58" s="90"/>
      <c r="AL58" s="84"/>
      <c r="AM58" s="84"/>
      <c r="AN58" s="91"/>
      <c r="AO58" s="90"/>
    </row>
    <row r="59" spans="1:41">
      <c r="A59" s="27">
        <v>48</v>
      </c>
      <c r="B59" s="62" t="s">
        <v>145</v>
      </c>
      <c r="C59" s="45" t="s">
        <v>146</v>
      </c>
      <c r="D59" s="27" t="s">
        <v>80</v>
      </c>
      <c r="E59" s="27" t="s">
        <v>147</v>
      </c>
      <c r="F59" s="63"/>
      <c r="G59" s="63"/>
      <c r="H59" s="63" t="s">
        <v>58</v>
      </c>
      <c r="I59" s="46" t="s">
        <v>148</v>
      </c>
      <c r="J59" s="47" t="s">
        <v>148</v>
      </c>
      <c r="K59" s="35" t="s">
        <v>58</v>
      </c>
      <c r="L59" s="36">
        <v>17697</v>
      </c>
      <c r="M59" s="64">
        <v>1.25</v>
      </c>
      <c r="N59" s="36"/>
      <c r="O59" s="36">
        <v>3.25</v>
      </c>
      <c r="P59" s="36">
        <f>L59*M59*O59</f>
        <v>71894.0625</v>
      </c>
      <c r="Q59" s="86"/>
      <c r="R59" s="36"/>
      <c r="S59" s="36"/>
      <c r="T59" s="37">
        <f>IF(H56&gt;0,10%,0)</f>
        <v>0.1</v>
      </c>
      <c r="U59" s="36">
        <f>P59*T59</f>
        <v>7189.40625</v>
      </c>
      <c r="V59" s="36"/>
      <c r="W59" s="38"/>
      <c r="X59" s="38"/>
      <c r="Y59" s="36"/>
      <c r="Z59" s="48">
        <v>0.3</v>
      </c>
      <c r="AA59" s="36">
        <f>L59*M59*Z59</f>
        <v>6636.375</v>
      </c>
      <c r="AB59" s="36"/>
      <c r="AC59" s="36"/>
      <c r="AD59" s="38">
        <f>P59+U59+AA59</f>
        <v>85719.84375</v>
      </c>
      <c r="AE59" s="36"/>
      <c r="AF59" s="36"/>
      <c r="AG59" s="41"/>
      <c r="AJ59" s="20"/>
      <c r="AK59" s="20"/>
      <c r="AN59" s="88"/>
      <c r="AO59" s="20"/>
    </row>
    <row r="60" spans="1:41">
      <c r="A60" s="92">
        <v>49</v>
      </c>
      <c r="B60" s="62" t="s">
        <v>149</v>
      </c>
      <c r="C60" s="45" t="s">
        <v>146</v>
      </c>
      <c r="D60" s="27" t="s">
        <v>80</v>
      </c>
      <c r="E60" s="27" t="s">
        <v>150</v>
      </c>
      <c r="F60" s="63"/>
      <c r="G60" s="63"/>
      <c r="H60" s="63" t="s">
        <v>58</v>
      </c>
      <c r="I60" s="46" t="s">
        <v>148</v>
      </c>
      <c r="J60" s="47" t="s">
        <v>148</v>
      </c>
      <c r="K60" s="35" t="s">
        <v>58</v>
      </c>
      <c r="L60" s="36">
        <v>17697</v>
      </c>
      <c r="M60" s="64">
        <v>1.5</v>
      </c>
      <c r="N60" s="36"/>
      <c r="O60" s="36">
        <v>2.94</v>
      </c>
      <c r="P60" s="36">
        <f t="shared" ref="P60:P69" si="19">L60*M60*O60</f>
        <v>78043.77</v>
      </c>
      <c r="Q60" s="86"/>
      <c r="R60" s="36"/>
      <c r="S60" s="36"/>
      <c r="T60" s="37">
        <f>IF(H56&gt;0,10%,0)</f>
        <v>0.1</v>
      </c>
      <c r="U60" s="36">
        <f t="shared" ref="U60:U69" si="20">P60*T60</f>
        <v>7804.3770000000004</v>
      </c>
      <c r="V60" s="36"/>
      <c r="W60" s="38"/>
      <c r="X60" s="38"/>
      <c r="Y60" s="36"/>
      <c r="Z60" s="48">
        <v>0.3</v>
      </c>
      <c r="AA60" s="36">
        <f t="shared" ref="AA60:AA69" si="21">L60*M60*Z60</f>
        <v>7963.65</v>
      </c>
      <c r="AB60" s="36"/>
      <c r="AC60" s="36"/>
      <c r="AD60" s="38">
        <f t="shared" ref="AD60:AD69" si="22">P60+U60+AA60</f>
        <v>93811.796999999991</v>
      </c>
      <c r="AE60" s="36"/>
      <c r="AF60" s="36"/>
      <c r="AG60" s="41"/>
      <c r="AJ60" s="20"/>
      <c r="AK60" s="20"/>
      <c r="AN60" s="88"/>
      <c r="AO60" s="20"/>
    </row>
    <row r="61" spans="1:41">
      <c r="A61" s="27">
        <v>50</v>
      </c>
      <c r="B61" s="62" t="s">
        <v>151</v>
      </c>
      <c r="C61" s="45" t="s">
        <v>146</v>
      </c>
      <c r="D61" s="51" t="s">
        <v>80</v>
      </c>
      <c r="E61" s="33" t="s">
        <v>152</v>
      </c>
      <c r="F61" s="93"/>
      <c r="G61" s="93"/>
      <c r="H61" s="63" t="s">
        <v>58</v>
      </c>
      <c r="I61" s="46" t="s">
        <v>148</v>
      </c>
      <c r="J61" s="47" t="s">
        <v>148</v>
      </c>
      <c r="K61" s="35" t="s">
        <v>58</v>
      </c>
      <c r="L61" s="36">
        <v>17697</v>
      </c>
      <c r="M61" s="94">
        <v>1.5</v>
      </c>
      <c r="N61" s="52"/>
      <c r="O61" s="36">
        <v>3.12</v>
      </c>
      <c r="P61" s="36">
        <f t="shared" si="19"/>
        <v>82821.960000000006</v>
      </c>
      <c r="Q61" s="37"/>
      <c r="R61" s="38"/>
      <c r="S61" s="39"/>
      <c r="T61" s="37">
        <f>IF(H56&gt;0,10%,0)</f>
        <v>0.1</v>
      </c>
      <c r="U61" s="36">
        <f t="shared" si="20"/>
        <v>8282.1960000000017</v>
      </c>
      <c r="V61" s="38"/>
      <c r="W61" s="38"/>
      <c r="X61" s="38"/>
      <c r="Y61" s="38"/>
      <c r="Z61" s="48">
        <v>0.3</v>
      </c>
      <c r="AA61" s="36">
        <f t="shared" si="21"/>
        <v>7963.65</v>
      </c>
      <c r="AB61" s="36"/>
      <c r="AC61" s="36"/>
      <c r="AD61" s="38">
        <f t="shared" si="22"/>
        <v>99067.805999999997</v>
      </c>
      <c r="AE61" s="36"/>
      <c r="AF61" s="36"/>
      <c r="AG61" s="41"/>
      <c r="AJ61" s="20"/>
      <c r="AK61" s="20"/>
      <c r="AN61" s="88"/>
      <c r="AO61" s="20"/>
    </row>
    <row r="62" spans="1:41">
      <c r="A62" s="27">
        <v>51</v>
      </c>
      <c r="B62" s="62" t="s">
        <v>153</v>
      </c>
      <c r="C62" s="45" t="s">
        <v>146</v>
      </c>
      <c r="D62" s="51" t="s">
        <v>80</v>
      </c>
      <c r="E62" s="33" t="s">
        <v>154</v>
      </c>
      <c r="F62" s="93"/>
      <c r="G62" s="93"/>
      <c r="H62" s="63" t="s">
        <v>58</v>
      </c>
      <c r="I62" s="46" t="s">
        <v>148</v>
      </c>
      <c r="J62" s="47" t="s">
        <v>148</v>
      </c>
      <c r="K62" s="35" t="s">
        <v>58</v>
      </c>
      <c r="L62" s="36">
        <v>17697</v>
      </c>
      <c r="M62" s="94">
        <v>1.25</v>
      </c>
      <c r="N62" s="52"/>
      <c r="O62" s="36">
        <v>3.08</v>
      </c>
      <c r="P62" s="36">
        <f t="shared" si="19"/>
        <v>68133.45</v>
      </c>
      <c r="Q62" s="37"/>
      <c r="R62" s="38"/>
      <c r="S62" s="39"/>
      <c r="T62" s="37">
        <f>IF(H56&gt;0,10%,0)</f>
        <v>0.1</v>
      </c>
      <c r="U62" s="36">
        <f t="shared" si="20"/>
        <v>6813.3450000000003</v>
      </c>
      <c r="V62" s="38"/>
      <c r="W62" s="38"/>
      <c r="X62" s="38"/>
      <c r="Y62" s="38"/>
      <c r="Z62" s="48">
        <v>0.3</v>
      </c>
      <c r="AA62" s="36">
        <f t="shared" si="21"/>
        <v>6636.375</v>
      </c>
      <c r="AB62" s="36"/>
      <c r="AC62" s="36"/>
      <c r="AD62" s="38">
        <f t="shared" si="22"/>
        <v>81583.17</v>
      </c>
      <c r="AE62" s="36"/>
      <c r="AF62" s="36"/>
      <c r="AG62" s="41"/>
      <c r="AJ62" s="20"/>
      <c r="AK62" s="20"/>
      <c r="AN62" s="88"/>
      <c r="AO62" s="20"/>
    </row>
    <row r="63" spans="1:41">
      <c r="A63" s="92">
        <v>52</v>
      </c>
      <c r="B63" s="62" t="s">
        <v>155</v>
      </c>
      <c r="C63" s="45" t="s">
        <v>146</v>
      </c>
      <c r="D63" s="51" t="s">
        <v>80</v>
      </c>
      <c r="E63" s="33" t="s">
        <v>156</v>
      </c>
      <c r="F63" s="93"/>
      <c r="G63" s="93"/>
      <c r="H63" s="63" t="s">
        <v>58</v>
      </c>
      <c r="I63" s="46" t="s">
        <v>148</v>
      </c>
      <c r="J63" s="47" t="s">
        <v>148</v>
      </c>
      <c r="K63" s="35" t="s">
        <v>58</v>
      </c>
      <c r="L63" s="36">
        <v>17697</v>
      </c>
      <c r="M63" s="94">
        <v>1.25</v>
      </c>
      <c r="N63" s="52"/>
      <c r="O63" s="36">
        <v>2.98</v>
      </c>
      <c r="P63" s="36">
        <f t="shared" si="19"/>
        <v>65921.324999999997</v>
      </c>
      <c r="Q63" s="37"/>
      <c r="R63" s="38"/>
      <c r="S63" s="39"/>
      <c r="T63" s="37">
        <f>IF(H56&gt;0,10%,0)</f>
        <v>0.1</v>
      </c>
      <c r="U63" s="36">
        <f t="shared" si="20"/>
        <v>6592.1324999999997</v>
      </c>
      <c r="V63" s="38"/>
      <c r="W63" s="38"/>
      <c r="X63" s="38"/>
      <c r="Y63" s="38"/>
      <c r="Z63" s="48">
        <v>0.3</v>
      </c>
      <c r="AA63" s="36">
        <f t="shared" si="21"/>
        <v>6636.375</v>
      </c>
      <c r="AB63" s="36"/>
      <c r="AC63" s="36"/>
      <c r="AD63" s="38">
        <f t="shared" si="22"/>
        <v>79149.83249999999</v>
      </c>
      <c r="AE63" s="36"/>
      <c r="AF63" s="36"/>
      <c r="AG63" s="41"/>
      <c r="AJ63" s="20"/>
      <c r="AK63" s="20"/>
      <c r="AN63" s="88"/>
      <c r="AO63" s="20"/>
    </row>
    <row r="64" spans="1:41">
      <c r="A64" s="27">
        <v>53</v>
      </c>
      <c r="B64" s="62" t="s">
        <v>157</v>
      </c>
      <c r="C64" s="45" t="s">
        <v>146</v>
      </c>
      <c r="D64" s="51" t="s">
        <v>80</v>
      </c>
      <c r="E64" s="33" t="s">
        <v>158</v>
      </c>
      <c r="F64" s="93"/>
      <c r="G64" s="93"/>
      <c r="H64" s="63" t="s">
        <v>58</v>
      </c>
      <c r="I64" s="46" t="s">
        <v>148</v>
      </c>
      <c r="J64" s="47" t="s">
        <v>148</v>
      </c>
      <c r="K64" s="35" t="s">
        <v>58</v>
      </c>
      <c r="L64" s="36">
        <v>17697</v>
      </c>
      <c r="M64" s="94">
        <v>1.5</v>
      </c>
      <c r="N64" s="52"/>
      <c r="O64" s="36">
        <v>2.98</v>
      </c>
      <c r="P64" s="36">
        <f t="shared" si="19"/>
        <v>79105.59</v>
      </c>
      <c r="Q64" s="37"/>
      <c r="R64" s="38"/>
      <c r="S64" s="39"/>
      <c r="T64" s="37">
        <f>IF(H56&gt;0,10%,0)</f>
        <v>0.1</v>
      </c>
      <c r="U64" s="36">
        <f t="shared" si="20"/>
        <v>7910.5590000000002</v>
      </c>
      <c r="V64" s="38"/>
      <c r="W64" s="38"/>
      <c r="X64" s="38"/>
      <c r="Y64" s="38"/>
      <c r="Z64" s="48">
        <v>0.3</v>
      </c>
      <c r="AA64" s="36">
        <f t="shared" si="21"/>
        <v>7963.65</v>
      </c>
      <c r="AB64" s="36"/>
      <c r="AC64" s="36"/>
      <c r="AD64" s="38">
        <f t="shared" si="22"/>
        <v>94979.798999999985</v>
      </c>
      <c r="AE64" s="36"/>
      <c r="AF64" s="36"/>
      <c r="AG64" s="41"/>
      <c r="AJ64" s="20"/>
      <c r="AK64" s="20"/>
      <c r="AN64" s="88"/>
      <c r="AO64" s="20"/>
    </row>
    <row r="65" spans="1:43">
      <c r="A65" s="27">
        <v>54</v>
      </c>
      <c r="B65" s="62" t="s">
        <v>159</v>
      </c>
      <c r="C65" s="45" t="s">
        <v>146</v>
      </c>
      <c r="D65" s="51" t="s">
        <v>80</v>
      </c>
      <c r="E65" s="33" t="s">
        <v>160</v>
      </c>
      <c r="F65" s="93"/>
      <c r="G65" s="93"/>
      <c r="H65" s="63" t="s">
        <v>58</v>
      </c>
      <c r="I65" s="46" t="s">
        <v>148</v>
      </c>
      <c r="J65" s="47" t="s">
        <v>148</v>
      </c>
      <c r="K65" s="35" t="s">
        <v>58</v>
      </c>
      <c r="L65" s="36">
        <v>17697</v>
      </c>
      <c r="M65" s="94">
        <v>1.25</v>
      </c>
      <c r="N65" s="52"/>
      <c r="O65" s="36">
        <v>3.12</v>
      </c>
      <c r="P65" s="36">
        <f t="shared" si="19"/>
        <v>69018.3</v>
      </c>
      <c r="Q65" s="37"/>
      <c r="R65" s="38"/>
      <c r="S65" s="39"/>
      <c r="T65" s="37">
        <f>IF(H56&gt;0,10%,0)</f>
        <v>0.1</v>
      </c>
      <c r="U65" s="36">
        <f t="shared" si="20"/>
        <v>6901.8300000000008</v>
      </c>
      <c r="V65" s="38"/>
      <c r="W65" s="38"/>
      <c r="X65" s="38"/>
      <c r="Y65" s="38"/>
      <c r="Z65" s="48">
        <v>0.3</v>
      </c>
      <c r="AA65" s="36">
        <f t="shared" si="21"/>
        <v>6636.375</v>
      </c>
      <c r="AB65" s="36"/>
      <c r="AC65" s="36"/>
      <c r="AD65" s="38">
        <f t="shared" si="22"/>
        <v>82556.505000000005</v>
      </c>
      <c r="AE65" s="36"/>
      <c r="AF65" s="36"/>
      <c r="AG65" s="41"/>
      <c r="AJ65" s="20"/>
      <c r="AK65" s="20"/>
      <c r="AN65" s="88"/>
      <c r="AO65" s="20"/>
    </row>
    <row r="66" spans="1:43">
      <c r="A66" s="92">
        <v>55</v>
      </c>
      <c r="B66" s="62" t="s">
        <v>161</v>
      </c>
      <c r="C66" s="45" t="s">
        <v>146</v>
      </c>
      <c r="D66" s="51" t="s">
        <v>80</v>
      </c>
      <c r="E66" s="33" t="s">
        <v>162</v>
      </c>
      <c r="F66" s="93"/>
      <c r="G66" s="93"/>
      <c r="H66" s="63" t="s">
        <v>58</v>
      </c>
      <c r="I66" s="46" t="s">
        <v>148</v>
      </c>
      <c r="J66" s="47" t="s">
        <v>148</v>
      </c>
      <c r="K66" s="35" t="s">
        <v>58</v>
      </c>
      <c r="L66" s="36">
        <v>17697</v>
      </c>
      <c r="M66" s="94">
        <v>1.25</v>
      </c>
      <c r="N66" s="52"/>
      <c r="O66" s="36">
        <v>2.94</v>
      </c>
      <c r="P66" s="36">
        <f t="shared" si="19"/>
        <v>65036.474999999999</v>
      </c>
      <c r="Q66" s="37"/>
      <c r="R66" s="38"/>
      <c r="S66" s="39"/>
      <c r="T66" s="37">
        <f>IF(H56&gt;0,10%,0)</f>
        <v>0.1</v>
      </c>
      <c r="U66" s="36">
        <f t="shared" si="20"/>
        <v>6503.6475</v>
      </c>
      <c r="V66" s="38"/>
      <c r="W66" s="38"/>
      <c r="X66" s="38"/>
      <c r="Y66" s="38"/>
      <c r="Z66" s="48">
        <v>0.3</v>
      </c>
      <c r="AA66" s="36">
        <f t="shared" si="21"/>
        <v>6636.375</v>
      </c>
      <c r="AB66" s="36"/>
      <c r="AC66" s="36"/>
      <c r="AD66" s="38">
        <f t="shared" si="22"/>
        <v>78176.497499999998</v>
      </c>
      <c r="AE66" s="36"/>
      <c r="AF66" s="36"/>
      <c r="AG66" s="41"/>
      <c r="AJ66" s="20"/>
      <c r="AK66" s="20"/>
      <c r="AN66" s="88"/>
      <c r="AO66" s="20"/>
    </row>
    <row r="67" spans="1:43">
      <c r="A67" s="27">
        <v>56</v>
      </c>
      <c r="B67" s="62" t="s">
        <v>163</v>
      </c>
      <c r="C67" s="45" t="s">
        <v>146</v>
      </c>
      <c r="D67" s="51" t="s">
        <v>80</v>
      </c>
      <c r="E67" s="33" t="s">
        <v>136</v>
      </c>
      <c r="F67" s="93"/>
      <c r="G67" s="93"/>
      <c r="H67" s="63" t="s">
        <v>58</v>
      </c>
      <c r="I67" s="46" t="s">
        <v>148</v>
      </c>
      <c r="J67" s="47" t="s">
        <v>148</v>
      </c>
      <c r="K67" s="35" t="s">
        <v>58</v>
      </c>
      <c r="L67" s="36">
        <v>17697</v>
      </c>
      <c r="M67" s="94">
        <v>1.25</v>
      </c>
      <c r="N67" s="52"/>
      <c r="O67" s="36">
        <v>2.98</v>
      </c>
      <c r="P67" s="36">
        <f t="shared" si="19"/>
        <v>65921.324999999997</v>
      </c>
      <c r="Q67" s="37"/>
      <c r="R67" s="38"/>
      <c r="S67" s="39"/>
      <c r="T67" s="37">
        <f>IF(H56&gt;0,10%,0)</f>
        <v>0.1</v>
      </c>
      <c r="U67" s="36">
        <f t="shared" si="20"/>
        <v>6592.1324999999997</v>
      </c>
      <c r="V67" s="38"/>
      <c r="W67" s="38"/>
      <c r="X67" s="38"/>
      <c r="Y67" s="38"/>
      <c r="Z67" s="48">
        <v>0.3</v>
      </c>
      <c r="AA67" s="36">
        <f t="shared" si="21"/>
        <v>6636.375</v>
      </c>
      <c r="AB67" s="36"/>
      <c r="AC67" s="36"/>
      <c r="AD67" s="38">
        <f t="shared" si="22"/>
        <v>79149.83249999999</v>
      </c>
      <c r="AE67" s="36"/>
      <c r="AF67" s="36"/>
      <c r="AG67" s="41"/>
      <c r="AJ67" s="20"/>
      <c r="AK67" s="20"/>
      <c r="AN67" s="88"/>
      <c r="AO67" s="20"/>
    </row>
    <row r="68" spans="1:43">
      <c r="A68" s="27">
        <v>57</v>
      </c>
      <c r="B68" s="62" t="s">
        <v>164</v>
      </c>
      <c r="C68" s="45" t="s">
        <v>146</v>
      </c>
      <c r="D68" s="51" t="s">
        <v>80</v>
      </c>
      <c r="E68" s="33" t="s">
        <v>99</v>
      </c>
      <c r="F68" s="93"/>
      <c r="G68" s="93"/>
      <c r="H68" s="63" t="s">
        <v>58</v>
      </c>
      <c r="I68" s="46" t="s">
        <v>148</v>
      </c>
      <c r="J68" s="47" t="s">
        <v>148</v>
      </c>
      <c r="K68" s="35" t="s">
        <v>58</v>
      </c>
      <c r="L68" s="36">
        <v>17697</v>
      </c>
      <c r="M68" s="94">
        <v>1.25</v>
      </c>
      <c r="N68" s="52"/>
      <c r="O68" s="36">
        <v>2.98</v>
      </c>
      <c r="P68" s="36">
        <f t="shared" si="19"/>
        <v>65921.324999999997</v>
      </c>
      <c r="Q68" s="37"/>
      <c r="R68" s="38"/>
      <c r="S68" s="39"/>
      <c r="T68" s="37">
        <f>IF(H56&gt;0,10%,0)</f>
        <v>0.1</v>
      </c>
      <c r="U68" s="36">
        <f t="shared" si="20"/>
        <v>6592.1324999999997</v>
      </c>
      <c r="V68" s="38"/>
      <c r="W68" s="38"/>
      <c r="X68" s="38"/>
      <c r="Y68" s="38"/>
      <c r="Z68" s="48">
        <v>0.3</v>
      </c>
      <c r="AA68" s="36">
        <f t="shared" si="21"/>
        <v>6636.375</v>
      </c>
      <c r="AB68" s="36"/>
      <c r="AC68" s="36"/>
      <c r="AD68" s="38">
        <f t="shared" si="22"/>
        <v>79149.83249999999</v>
      </c>
      <c r="AE68" s="36"/>
      <c r="AF68" s="36"/>
      <c r="AG68" s="41"/>
      <c r="AJ68" s="20"/>
      <c r="AK68" s="20"/>
      <c r="AN68" s="88"/>
      <c r="AO68" s="20"/>
    </row>
    <row r="69" spans="1:43">
      <c r="A69" s="92">
        <v>58</v>
      </c>
      <c r="B69" s="62" t="s">
        <v>165</v>
      </c>
      <c r="C69" s="45" t="s">
        <v>146</v>
      </c>
      <c r="D69" s="51" t="s">
        <v>80</v>
      </c>
      <c r="E69" s="33" t="s">
        <v>166</v>
      </c>
      <c r="F69" s="93"/>
      <c r="G69" s="93"/>
      <c r="H69" s="93" t="s">
        <v>58</v>
      </c>
      <c r="I69" s="46" t="s">
        <v>148</v>
      </c>
      <c r="J69" s="47" t="s">
        <v>148</v>
      </c>
      <c r="K69" s="35" t="s">
        <v>58</v>
      </c>
      <c r="L69" s="36">
        <v>17697</v>
      </c>
      <c r="M69" s="94">
        <v>1.25</v>
      </c>
      <c r="N69" s="52"/>
      <c r="O69" s="36">
        <v>2.94</v>
      </c>
      <c r="P69" s="36">
        <f t="shared" si="19"/>
        <v>65036.474999999999</v>
      </c>
      <c r="Q69" s="37"/>
      <c r="R69" s="38"/>
      <c r="S69" s="39"/>
      <c r="T69" s="37">
        <f>IF(H56&gt;0,10%,0)</f>
        <v>0.1</v>
      </c>
      <c r="U69" s="36">
        <f t="shared" si="20"/>
        <v>6503.6475</v>
      </c>
      <c r="V69" s="38"/>
      <c r="W69" s="38"/>
      <c r="X69" s="38"/>
      <c r="Y69" s="38"/>
      <c r="Z69" s="48">
        <v>0.3</v>
      </c>
      <c r="AA69" s="36">
        <f t="shared" si="21"/>
        <v>6636.375</v>
      </c>
      <c r="AB69" s="36"/>
      <c r="AC69" s="36"/>
      <c r="AD69" s="38">
        <f t="shared" si="22"/>
        <v>78176.497499999998</v>
      </c>
      <c r="AE69" s="36"/>
      <c r="AF69" s="36"/>
      <c r="AG69" s="41"/>
      <c r="AJ69" s="20"/>
      <c r="AK69" s="20"/>
      <c r="AN69" s="88"/>
      <c r="AO69" s="20"/>
    </row>
    <row r="70" spans="1:43" s="3" customFormat="1">
      <c r="A70" s="95"/>
      <c r="B70" s="96"/>
      <c r="C70" s="97"/>
      <c r="D70" s="98"/>
      <c r="E70" s="99"/>
      <c r="F70" s="100"/>
      <c r="G70" s="100"/>
      <c r="H70" s="100"/>
      <c r="I70" s="46"/>
      <c r="J70" s="47"/>
      <c r="K70" s="101"/>
      <c r="L70" s="102"/>
      <c r="M70" s="103"/>
      <c r="N70" s="104"/>
      <c r="O70" s="102"/>
      <c r="P70" s="102"/>
      <c r="Q70" s="105"/>
      <c r="R70" s="106"/>
      <c r="S70" s="107"/>
      <c r="T70" s="105"/>
      <c r="U70" s="106"/>
      <c r="V70" s="106"/>
      <c r="W70" s="106"/>
      <c r="X70" s="106"/>
      <c r="Y70" s="106"/>
      <c r="Z70" s="108"/>
      <c r="AA70" s="102">
        <f>L103*Z103*M103</f>
        <v>0</v>
      </c>
      <c r="AB70" s="102"/>
      <c r="AC70" s="102"/>
      <c r="AD70" s="106">
        <f t="shared" si="18"/>
        <v>0</v>
      </c>
      <c r="AE70" s="102"/>
      <c r="AF70" s="102"/>
      <c r="AG70" s="109"/>
      <c r="AI70" s="110"/>
      <c r="AJ70" s="111"/>
      <c r="AK70" s="111"/>
      <c r="AL70" s="110"/>
      <c r="AM70" s="110"/>
      <c r="AN70" s="112"/>
      <c r="AO70" s="111"/>
    </row>
    <row r="71" spans="1:43" s="3" customFormat="1" ht="15.75" thickBot="1">
      <c r="A71" s="113"/>
      <c r="B71" s="114"/>
      <c r="C71" s="97"/>
      <c r="D71" s="98"/>
      <c r="E71" s="115"/>
      <c r="F71" s="100"/>
      <c r="G71" s="100"/>
      <c r="H71" s="100"/>
      <c r="I71" s="46"/>
      <c r="J71" s="47"/>
      <c r="K71" s="35"/>
      <c r="L71" s="102"/>
      <c r="M71" s="103"/>
      <c r="N71" s="100"/>
      <c r="O71" s="102"/>
      <c r="P71" s="102"/>
      <c r="Q71" s="105"/>
      <c r="R71" s="106"/>
      <c r="S71" s="107"/>
      <c r="T71" s="105"/>
      <c r="U71" s="106"/>
      <c r="V71" s="106"/>
      <c r="W71" s="106"/>
      <c r="X71" s="106"/>
      <c r="Y71" s="106"/>
      <c r="Z71" s="40"/>
      <c r="AA71" s="38"/>
      <c r="AB71" s="38"/>
      <c r="AC71" s="38"/>
      <c r="AD71" s="106"/>
      <c r="AE71" s="102">
        <f>AD71*AG71%</f>
        <v>0</v>
      </c>
      <c r="AF71" s="102">
        <f>AD71-AE71</f>
        <v>0</v>
      </c>
      <c r="AG71" s="109">
        <v>29.5181</v>
      </c>
      <c r="AI71" s="116">
        <f>B71</f>
        <v>0</v>
      </c>
      <c r="AJ71" s="117">
        <f>M71</f>
        <v>0</v>
      </c>
      <c r="AK71" s="117"/>
      <c r="AL71" s="110"/>
      <c r="AM71" s="116">
        <f>B71</f>
        <v>0</v>
      </c>
      <c r="AN71" s="118">
        <f>M71</f>
        <v>0</v>
      </c>
      <c r="AO71" s="117">
        <f>AD71</f>
        <v>0</v>
      </c>
    </row>
    <row r="72" spans="1:43" ht="22.5" customHeight="1" thickBot="1">
      <c r="A72" s="119"/>
      <c r="B72" s="120"/>
      <c r="C72" s="120"/>
      <c r="D72" s="121"/>
      <c r="E72" s="57"/>
      <c r="F72" s="57"/>
      <c r="G72" s="57"/>
      <c r="H72" s="122"/>
      <c r="I72" s="122"/>
      <c r="J72" s="122"/>
      <c r="K72" s="123"/>
      <c r="L72" s="124"/>
      <c r="M72" s="125">
        <f>SUM(M14:M71)</f>
        <v>61</v>
      </c>
      <c r="N72" s="124"/>
      <c r="O72" s="124"/>
      <c r="P72" s="124">
        <f>SUM(P14:P71)</f>
        <v>4214717.5200000005</v>
      </c>
      <c r="Q72" s="124">
        <f t="shared" ref="Q72:AG72" si="23">SUM(Q14:Q71)</f>
        <v>0</v>
      </c>
      <c r="R72" s="124">
        <f t="shared" si="23"/>
        <v>0</v>
      </c>
      <c r="S72" s="124">
        <f t="shared" si="23"/>
        <v>4906272.0374999987</v>
      </c>
      <c r="T72" s="124">
        <f t="shared" si="23"/>
        <v>5.3999999999999968</v>
      </c>
      <c r="U72" s="124">
        <f t="shared" si="23"/>
        <v>585014.15324999962</v>
      </c>
      <c r="V72" s="124">
        <f t="shared" si="23"/>
        <v>1635424.0125</v>
      </c>
      <c r="W72" s="124">
        <f t="shared" si="23"/>
        <v>163542.40125000005</v>
      </c>
      <c r="X72" s="124">
        <f t="shared" si="23"/>
        <v>343786.34625</v>
      </c>
      <c r="Y72" s="124">
        <f t="shared" si="23"/>
        <v>0</v>
      </c>
      <c r="Z72" s="124">
        <f t="shared" si="23"/>
        <v>3.2999999999999994</v>
      </c>
      <c r="AA72" s="124">
        <f t="shared" si="23"/>
        <v>76981.950000000012</v>
      </c>
      <c r="AB72" s="124">
        <f t="shared" si="23"/>
        <v>156618.45000000001</v>
      </c>
      <c r="AC72" s="124">
        <f t="shared" si="23"/>
        <v>78680.861999999994</v>
      </c>
      <c r="AD72" s="124">
        <f t="shared" si="23"/>
        <v>6747436.9477499975</v>
      </c>
      <c r="AE72" s="199">
        <f t="shared" si="23"/>
        <v>78912.951755322385</v>
      </c>
      <c r="AF72" s="199">
        <f t="shared" si="23"/>
        <v>413751.61911967769</v>
      </c>
      <c r="AG72" s="124">
        <f t="shared" si="23"/>
        <v>76.951099999999997</v>
      </c>
      <c r="AI72" s="60" t="s">
        <v>167</v>
      </c>
      <c r="AJ72" s="76">
        <f>SUM(AJ14:AJ60)</f>
        <v>0</v>
      </c>
      <c r="AK72" s="76">
        <f>SUM(AK14:AK60)</f>
        <v>0</v>
      </c>
      <c r="AL72" s="20"/>
      <c r="AM72" s="60" t="s">
        <v>168</v>
      </c>
      <c r="AN72" s="76">
        <f>SUM(AN14:AN71)</f>
        <v>1.5</v>
      </c>
      <c r="AO72" s="76">
        <f>SUM(AO14:AO71)</f>
        <v>176567.39324999999</v>
      </c>
      <c r="AQ72" s="5"/>
    </row>
    <row r="73" spans="1:43" s="3" customFormat="1">
      <c r="A73" s="126">
        <v>59</v>
      </c>
      <c r="B73" s="96" t="s">
        <v>169</v>
      </c>
      <c r="C73" s="127" t="s">
        <v>170</v>
      </c>
      <c r="D73" s="128" t="s">
        <v>36</v>
      </c>
      <c r="E73" s="129" t="s">
        <v>136</v>
      </c>
      <c r="F73" s="129"/>
      <c r="G73" s="129"/>
      <c r="H73" s="130" t="s">
        <v>58</v>
      </c>
      <c r="I73" s="131" t="s">
        <v>171</v>
      </c>
      <c r="J73" s="131" t="s">
        <v>171</v>
      </c>
      <c r="K73" s="132">
        <v>1</v>
      </c>
      <c r="L73" s="106">
        <v>17697</v>
      </c>
      <c r="M73" s="102">
        <v>0.5</v>
      </c>
      <c r="N73" s="102"/>
      <c r="O73" s="106">
        <v>2.98</v>
      </c>
      <c r="P73" s="106">
        <f>L73*O73*M73</f>
        <v>26368.53</v>
      </c>
      <c r="Q73" s="105"/>
      <c r="R73" s="106"/>
      <c r="S73" s="107"/>
      <c r="T73" s="105">
        <f t="shared" ref="T73:T98" si="24">IF(H73&gt;0,10%,0)</f>
        <v>0.1</v>
      </c>
      <c r="U73" s="38">
        <f t="shared" ref="U73:U81" si="25">P73*T73</f>
        <v>2636.8530000000001</v>
      </c>
      <c r="V73" s="106"/>
      <c r="W73" s="106"/>
      <c r="X73" s="106"/>
      <c r="Y73" s="106"/>
      <c r="Z73" s="133"/>
      <c r="AA73" s="102"/>
      <c r="AB73" s="102"/>
      <c r="AC73" s="102"/>
      <c r="AD73" s="102">
        <f>P73+U73</f>
        <v>29005.382999999998</v>
      </c>
      <c r="AE73" s="102"/>
      <c r="AF73" s="102"/>
      <c r="AG73" s="109"/>
      <c r="AI73" s="116"/>
      <c r="AJ73" s="117"/>
      <c r="AK73" s="117"/>
      <c r="AM73" s="116"/>
      <c r="AN73" s="118"/>
      <c r="AO73" s="117"/>
    </row>
    <row r="74" spans="1:43" s="3" customFormat="1">
      <c r="A74" s="126">
        <v>60</v>
      </c>
      <c r="B74" s="96" t="s">
        <v>172</v>
      </c>
      <c r="C74" s="127" t="s">
        <v>170</v>
      </c>
      <c r="D74" s="128" t="s">
        <v>36</v>
      </c>
      <c r="E74" s="129" t="s">
        <v>173</v>
      </c>
      <c r="F74" s="129"/>
      <c r="G74" s="129"/>
      <c r="H74" s="130" t="s">
        <v>58</v>
      </c>
      <c r="I74" s="131" t="s">
        <v>171</v>
      </c>
      <c r="J74" s="131" t="s">
        <v>171</v>
      </c>
      <c r="K74" s="132">
        <v>1</v>
      </c>
      <c r="L74" s="106">
        <v>17697</v>
      </c>
      <c r="M74" s="102">
        <v>0.5</v>
      </c>
      <c r="N74" s="102"/>
      <c r="O74" s="106">
        <v>2.94</v>
      </c>
      <c r="P74" s="106">
        <f>L74*O74*M74</f>
        <v>26014.59</v>
      </c>
      <c r="Q74" s="105"/>
      <c r="R74" s="106"/>
      <c r="S74" s="107"/>
      <c r="T74" s="105">
        <f>IF(H74&gt;0,10%,0)</f>
        <v>0.1</v>
      </c>
      <c r="U74" s="38">
        <f t="shared" si="25"/>
        <v>2601.4590000000003</v>
      </c>
      <c r="V74" s="106"/>
      <c r="W74" s="106"/>
      <c r="X74" s="106"/>
      <c r="Y74" s="106"/>
      <c r="Z74" s="133"/>
      <c r="AA74" s="102"/>
      <c r="AB74" s="102"/>
      <c r="AC74" s="102"/>
      <c r="AD74" s="102">
        <f>P74+U74</f>
        <v>28616.048999999999</v>
      </c>
      <c r="AE74" s="102"/>
      <c r="AF74" s="102"/>
      <c r="AG74" s="109"/>
      <c r="AI74" s="116"/>
      <c r="AJ74" s="117"/>
      <c r="AK74" s="117"/>
      <c r="AM74" s="116"/>
      <c r="AN74" s="118"/>
      <c r="AO74" s="117"/>
    </row>
    <row r="75" spans="1:43" ht="30">
      <c r="A75" s="134">
        <v>61</v>
      </c>
      <c r="B75" s="62" t="s">
        <v>174</v>
      </c>
      <c r="C75" s="135" t="s">
        <v>175</v>
      </c>
      <c r="D75" s="27" t="s">
        <v>80</v>
      </c>
      <c r="E75" s="136" t="s">
        <v>176</v>
      </c>
      <c r="F75" s="136"/>
      <c r="G75" s="136"/>
      <c r="H75" s="63" t="s">
        <v>58</v>
      </c>
      <c r="I75" s="137" t="s">
        <v>171</v>
      </c>
      <c r="J75" s="137" t="s">
        <v>171</v>
      </c>
      <c r="K75" s="138">
        <v>5</v>
      </c>
      <c r="L75" s="38">
        <v>17697</v>
      </c>
      <c r="M75" s="36">
        <v>1</v>
      </c>
      <c r="N75" s="36"/>
      <c r="O75" s="38">
        <v>2.92</v>
      </c>
      <c r="P75" s="38">
        <f>L75*O75</f>
        <v>51675.24</v>
      </c>
      <c r="Q75" s="37">
        <f>IF(G75&gt;0,25%,0)</f>
        <v>0</v>
      </c>
      <c r="R75" s="38">
        <f>ROUND((P75+U75)*Q75,2)</f>
        <v>0</v>
      </c>
      <c r="S75" s="39"/>
      <c r="T75" s="37">
        <f>IF(H75&gt;0,10%,0)</f>
        <v>0.1</v>
      </c>
      <c r="U75" s="38">
        <f t="shared" si="25"/>
        <v>5167.5240000000003</v>
      </c>
      <c r="V75" s="38"/>
      <c r="W75" s="38"/>
      <c r="X75" s="38"/>
      <c r="Y75" s="38"/>
      <c r="Z75" s="48">
        <v>0.3</v>
      </c>
      <c r="AA75" s="38">
        <f>17697*1*30%</f>
        <v>5309.0999999999995</v>
      </c>
      <c r="AB75" s="36"/>
      <c r="AC75" s="36"/>
      <c r="AD75" s="36">
        <f>P75+U75+AA75</f>
        <v>62151.863999999994</v>
      </c>
      <c r="AE75" s="36">
        <f>AD75*AG75%</f>
        <v>24329.906529575997</v>
      </c>
      <c r="AF75" s="36">
        <f>AD75-AE75</f>
        <v>37821.957470423993</v>
      </c>
      <c r="AG75" s="41">
        <v>39.145899999999997</v>
      </c>
      <c r="AI75" s="42" t="str">
        <f>B75</f>
        <v>Алпасбай А</v>
      </c>
      <c r="AJ75" s="43">
        <f>M75</f>
        <v>1</v>
      </c>
      <c r="AK75" s="43">
        <f>AD75</f>
        <v>62151.863999999994</v>
      </c>
      <c r="AL75" s="2"/>
      <c r="AM75" s="42"/>
      <c r="AN75" s="65"/>
      <c r="AO75" s="43"/>
    </row>
    <row r="76" spans="1:43" s="3" customFormat="1">
      <c r="A76" s="126">
        <v>62</v>
      </c>
      <c r="B76" s="96" t="s">
        <v>177</v>
      </c>
      <c r="C76" s="127" t="s">
        <v>175</v>
      </c>
      <c r="D76" s="128" t="s">
        <v>80</v>
      </c>
      <c r="E76" s="129" t="s">
        <v>178</v>
      </c>
      <c r="F76" s="129"/>
      <c r="G76" s="129"/>
      <c r="H76" s="130" t="s">
        <v>58</v>
      </c>
      <c r="I76" s="131" t="s">
        <v>171</v>
      </c>
      <c r="J76" s="131" t="s">
        <v>171</v>
      </c>
      <c r="K76" s="132">
        <v>5</v>
      </c>
      <c r="L76" s="106">
        <v>17697</v>
      </c>
      <c r="M76" s="102">
        <v>1</v>
      </c>
      <c r="N76" s="102"/>
      <c r="O76" s="106">
        <v>2.92</v>
      </c>
      <c r="P76" s="106">
        <f>L76*O76</f>
        <v>51675.24</v>
      </c>
      <c r="Q76" s="105"/>
      <c r="R76" s="106"/>
      <c r="S76" s="107"/>
      <c r="T76" s="105">
        <f>IF(H76&gt;0,10%,0)</f>
        <v>0.1</v>
      </c>
      <c r="U76" s="38">
        <f t="shared" si="25"/>
        <v>5167.5240000000003</v>
      </c>
      <c r="V76" s="106"/>
      <c r="W76" s="106"/>
      <c r="X76" s="106"/>
      <c r="Y76" s="106"/>
      <c r="Z76" s="133">
        <v>0.3</v>
      </c>
      <c r="AA76" s="38">
        <f>17697*1*30%</f>
        <v>5309.0999999999995</v>
      </c>
      <c r="AB76" s="102"/>
      <c r="AC76" s="102"/>
      <c r="AD76" s="102">
        <f t="shared" ref="AD76:AD99" si="26">P76+U76+AA76</f>
        <v>62151.863999999994</v>
      </c>
      <c r="AE76" s="102"/>
      <c r="AF76" s="102"/>
      <c r="AG76" s="109"/>
      <c r="AI76" s="116"/>
      <c r="AJ76" s="117"/>
      <c r="AK76" s="117"/>
      <c r="AM76" s="116"/>
      <c r="AN76" s="118"/>
      <c r="AO76" s="117"/>
    </row>
    <row r="77" spans="1:43">
      <c r="A77" s="126">
        <v>63</v>
      </c>
      <c r="B77" s="62" t="s">
        <v>174</v>
      </c>
      <c r="C77" s="135" t="s">
        <v>179</v>
      </c>
      <c r="D77" s="27" t="s">
        <v>80</v>
      </c>
      <c r="E77" s="136" t="s">
        <v>180</v>
      </c>
      <c r="F77" s="136"/>
      <c r="G77" s="136"/>
      <c r="H77" s="63" t="s">
        <v>58</v>
      </c>
      <c r="I77" s="137" t="s">
        <v>48</v>
      </c>
      <c r="J77" s="137" t="s">
        <v>48</v>
      </c>
      <c r="K77" s="138">
        <v>3</v>
      </c>
      <c r="L77" s="38">
        <v>17697</v>
      </c>
      <c r="M77" s="36">
        <v>0.5</v>
      </c>
      <c r="N77" s="36"/>
      <c r="O77" s="38">
        <v>3.31</v>
      </c>
      <c r="P77" s="38">
        <f>L77*O77*M77</f>
        <v>29288.535</v>
      </c>
      <c r="Q77" s="37"/>
      <c r="R77" s="38"/>
      <c r="S77" s="39"/>
      <c r="T77" s="37">
        <f>IF(H78&gt;0,10%,0)</f>
        <v>0.1</v>
      </c>
      <c r="U77" s="38">
        <f t="shared" si="25"/>
        <v>2928.8535000000002</v>
      </c>
      <c r="V77" s="38"/>
      <c r="W77" s="38"/>
      <c r="X77" s="38"/>
      <c r="Y77" s="38"/>
      <c r="Z77" s="48">
        <v>0.3</v>
      </c>
      <c r="AA77" s="38">
        <f>17697*0.5*30%</f>
        <v>2654.5499999999997</v>
      </c>
      <c r="AB77" s="36"/>
      <c r="AC77" s="36"/>
      <c r="AD77" s="36">
        <f>P77+U77+AA77</f>
        <v>34871.938500000004</v>
      </c>
      <c r="AE77" s="36"/>
      <c r="AF77" s="36"/>
      <c r="AG77" s="41"/>
      <c r="AI77" s="42"/>
      <c r="AJ77" s="43"/>
      <c r="AK77" s="43"/>
      <c r="AL77" s="2"/>
      <c r="AM77" s="42"/>
      <c r="AN77" s="65"/>
      <c r="AO77" s="43"/>
    </row>
    <row r="78" spans="1:43" s="3" customFormat="1">
      <c r="A78" s="134">
        <v>64</v>
      </c>
      <c r="B78" s="96" t="s">
        <v>177</v>
      </c>
      <c r="C78" s="127" t="s">
        <v>179</v>
      </c>
      <c r="D78" s="128" t="s">
        <v>80</v>
      </c>
      <c r="E78" s="129" t="s">
        <v>142</v>
      </c>
      <c r="F78" s="129"/>
      <c r="G78" s="129"/>
      <c r="H78" s="130" t="s">
        <v>58</v>
      </c>
      <c r="I78" s="131" t="s">
        <v>48</v>
      </c>
      <c r="J78" s="131" t="s">
        <v>48</v>
      </c>
      <c r="K78" s="132">
        <v>3</v>
      </c>
      <c r="L78" s="106">
        <v>17697</v>
      </c>
      <c r="M78" s="102">
        <v>0.5</v>
      </c>
      <c r="N78" s="102"/>
      <c r="O78" s="106">
        <v>3.31</v>
      </c>
      <c r="P78" s="106">
        <f>L78*O78*M78</f>
        <v>29288.535</v>
      </c>
      <c r="Q78" s="105"/>
      <c r="R78" s="106"/>
      <c r="S78" s="107"/>
      <c r="T78" s="105">
        <f>T77</f>
        <v>0.1</v>
      </c>
      <c r="U78" s="38">
        <f t="shared" si="25"/>
        <v>2928.8535000000002</v>
      </c>
      <c r="V78" s="106"/>
      <c r="W78" s="106"/>
      <c r="X78" s="106"/>
      <c r="Y78" s="106"/>
      <c r="Z78" s="133">
        <v>0.3</v>
      </c>
      <c r="AA78" s="38">
        <f>17697*0.5*30%</f>
        <v>2654.5499999999997</v>
      </c>
      <c r="AB78" s="102"/>
      <c r="AC78" s="102"/>
      <c r="AD78" s="102">
        <f t="shared" si="26"/>
        <v>34871.938500000004</v>
      </c>
      <c r="AE78" s="102"/>
      <c r="AF78" s="102"/>
      <c r="AG78" s="109"/>
      <c r="AI78" s="116"/>
      <c r="AJ78" s="117"/>
      <c r="AK78" s="117"/>
      <c r="AM78" s="116"/>
      <c r="AN78" s="118"/>
      <c r="AO78" s="117"/>
    </row>
    <row r="79" spans="1:43" s="152" customFormat="1">
      <c r="A79" s="126">
        <v>65</v>
      </c>
      <c r="B79" s="139" t="s">
        <v>181</v>
      </c>
      <c r="C79" s="140" t="s">
        <v>182</v>
      </c>
      <c r="D79" s="141" t="s">
        <v>80</v>
      </c>
      <c r="E79" s="142" t="s">
        <v>183</v>
      </c>
      <c r="F79" s="142"/>
      <c r="G79" s="142"/>
      <c r="H79" s="143" t="s">
        <v>58</v>
      </c>
      <c r="I79" s="144" t="s">
        <v>171</v>
      </c>
      <c r="J79" s="144" t="s">
        <v>171</v>
      </c>
      <c r="K79" s="145">
        <v>4</v>
      </c>
      <c r="L79" s="146">
        <v>17697</v>
      </c>
      <c r="M79" s="147">
        <v>1</v>
      </c>
      <c r="N79" s="147"/>
      <c r="O79" s="146">
        <v>2.89</v>
      </c>
      <c r="P79" s="146">
        <f>L79*O79</f>
        <v>51144.33</v>
      </c>
      <c r="Q79" s="148"/>
      <c r="R79" s="146"/>
      <c r="S79" s="149"/>
      <c r="T79" s="148">
        <f>IF(H79&gt;0,10%,0)</f>
        <v>0.1</v>
      </c>
      <c r="U79" s="38">
        <f t="shared" si="25"/>
        <v>5114.4330000000009</v>
      </c>
      <c r="V79" s="146"/>
      <c r="W79" s="146"/>
      <c r="X79" s="146"/>
      <c r="Y79" s="146"/>
      <c r="Z79" s="150"/>
      <c r="AA79" s="147"/>
      <c r="AB79" s="147"/>
      <c r="AC79" s="147"/>
      <c r="AD79" s="102">
        <f t="shared" si="26"/>
        <v>56258.763000000006</v>
      </c>
      <c r="AE79" s="147"/>
      <c r="AF79" s="147"/>
      <c r="AG79" s="151"/>
      <c r="AI79" s="153"/>
      <c r="AJ79" s="154"/>
      <c r="AK79" s="154"/>
      <c r="AM79" s="153"/>
      <c r="AN79" s="155"/>
      <c r="AO79" s="154"/>
    </row>
    <row r="80" spans="1:43" s="3" customFormat="1">
      <c r="A80" s="126">
        <v>66</v>
      </c>
      <c r="B80" s="96" t="s">
        <v>184</v>
      </c>
      <c r="C80" s="127" t="s">
        <v>185</v>
      </c>
      <c r="D80" s="128" t="s">
        <v>80</v>
      </c>
      <c r="E80" s="129" t="s">
        <v>186</v>
      </c>
      <c r="F80" s="129"/>
      <c r="G80" s="129"/>
      <c r="H80" s="130" t="s">
        <v>58</v>
      </c>
      <c r="I80" s="131" t="s">
        <v>171</v>
      </c>
      <c r="J80" s="131" t="s">
        <v>171</v>
      </c>
      <c r="K80" s="132">
        <v>2</v>
      </c>
      <c r="L80" s="106">
        <v>17697</v>
      </c>
      <c r="M80" s="102">
        <v>1</v>
      </c>
      <c r="N80" s="102"/>
      <c r="O80" s="106">
        <v>2.81</v>
      </c>
      <c r="P80" s="106">
        <f>L80*O80</f>
        <v>49728.57</v>
      </c>
      <c r="Q80" s="105"/>
      <c r="R80" s="106"/>
      <c r="S80" s="107"/>
      <c r="T80" s="105">
        <f t="shared" si="24"/>
        <v>0.1</v>
      </c>
      <c r="U80" s="38">
        <f t="shared" si="25"/>
        <v>4972.857</v>
      </c>
      <c r="V80" s="106"/>
      <c r="W80" s="106"/>
      <c r="X80" s="106"/>
      <c r="Y80" s="106"/>
      <c r="Z80" s="133"/>
      <c r="AA80" s="102"/>
      <c r="AB80" s="102"/>
      <c r="AC80" s="102"/>
      <c r="AD80" s="102">
        <f t="shared" si="26"/>
        <v>54701.426999999996</v>
      </c>
      <c r="AE80" s="102"/>
      <c r="AF80" s="102"/>
      <c r="AG80" s="109"/>
      <c r="AI80" s="116"/>
      <c r="AJ80" s="117"/>
      <c r="AK80" s="117"/>
      <c r="AM80" s="116"/>
      <c r="AN80" s="118"/>
      <c r="AO80" s="117"/>
    </row>
    <row r="81" spans="1:41" s="3" customFormat="1" ht="30">
      <c r="A81" s="134">
        <v>67</v>
      </c>
      <c r="B81" s="96" t="s">
        <v>187</v>
      </c>
      <c r="C81" s="127" t="s">
        <v>188</v>
      </c>
      <c r="D81" s="128" t="s">
        <v>80</v>
      </c>
      <c r="E81" s="129" t="s">
        <v>189</v>
      </c>
      <c r="F81" s="129"/>
      <c r="G81" s="129"/>
      <c r="H81" s="130" t="s">
        <v>58</v>
      </c>
      <c r="I81" s="131" t="s">
        <v>171</v>
      </c>
      <c r="J81" s="131" t="s">
        <v>171</v>
      </c>
      <c r="K81" s="132">
        <v>3</v>
      </c>
      <c r="L81" s="106">
        <v>17697</v>
      </c>
      <c r="M81" s="102">
        <v>1</v>
      </c>
      <c r="N81" s="102"/>
      <c r="O81" s="106">
        <v>2.84</v>
      </c>
      <c r="P81" s="106">
        <f>L81*O81</f>
        <v>50259.479999999996</v>
      </c>
      <c r="Q81" s="105">
        <f t="shared" ref="Q81:Q90" si="27">IF(G81&gt;0,25%,0)</f>
        <v>0</v>
      </c>
      <c r="R81" s="106">
        <f t="shared" ref="R81:R95" si="28">ROUND((P81+U81)*Q81,2)</f>
        <v>0</v>
      </c>
      <c r="S81" s="107"/>
      <c r="T81" s="105">
        <f t="shared" si="24"/>
        <v>0.1</v>
      </c>
      <c r="U81" s="38">
        <f t="shared" si="25"/>
        <v>5025.9480000000003</v>
      </c>
      <c r="V81" s="106"/>
      <c r="W81" s="106"/>
      <c r="X81" s="106"/>
      <c r="Y81" s="106"/>
      <c r="Z81" s="133"/>
      <c r="AA81" s="102"/>
      <c r="AB81" s="102"/>
      <c r="AC81" s="102"/>
      <c r="AD81" s="102">
        <f t="shared" si="26"/>
        <v>55285.428</v>
      </c>
      <c r="AE81" s="102">
        <f>AD81*AG81%</f>
        <v>19661.377901352</v>
      </c>
      <c r="AF81" s="102">
        <f t="shared" ref="AF81:AF87" si="29">AD81-AE81</f>
        <v>35624.050098648004</v>
      </c>
      <c r="AG81" s="109">
        <v>35.563400000000001</v>
      </c>
      <c r="AI81" s="116" t="str">
        <f>B81</f>
        <v>Муканова К.Н.</v>
      </c>
      <c r="AJ81" s="117">
        <f>M81</f>
        <v>1</v>
      </c>
      <c r="AK81" s="117">
        <f>AD81</f>
        <v>55285.428</v>
      </c>
      <c r="AL81" s="111"/>
      <c r="AM81" s="116"/>
      <c r="AN81" s="118"/>
      <c r="AO81" s="117"/>
    </row>
    <row r="82" spans="1:41" ht="30">
      <c r="A82" s="126">
        <v>68</v>
      </c>
      <c r="B82" s="96" t="s">
        <v>187</v>
      </c>
      <c r="C82" s="127" t="s">
        <v>190</v>
      </c>
      <c r="D82" s="128" t="s">
        <v>80</v>
      </c>
      <c r="E82" s="129" t="s">
        <v>191</v>
      </c>
      <c r="F82" s="136"/>
      <c r="G82" s="136"/>
      <c r="H82" s="130" t="s">
        <v>58</v>
      </c>
      <c r="I82" s="137" t="s">
        <v>171</v>
      </c>
      <c r="J82" s="137" t="s">
        <v>171</v>
      </c>
      <c r="K82" s="138">
        <v>2</v>
      </c>
      <c r="L82" s="38">
        <v>17697</v>
      </c>
      <c r="M82" s="102">
        <v>0.5</v>
      </c>
      <c r="N82" s="36"/>
      <c r="O82" s="38">
        <v>2.81</v>
      </c>
      <c r="P82" s="38">
        <f>L82*M82*O82</f>
        <v>24864.285</v>
      </c>
      <c r="Q82" s="37">
        <f t="shared" si="27"/>
        <v>0</v>
      </c>
      <c r="R82" s="38">
        <f t="shared" si="28"/>
        <v>0</v>
      </c>
      <c r="S82" s="39"/>
      <c r="T82" s="37">
        <v>0.1</v>
      </c>
      <c r="U82" s="38">
        <f>P82*T82</f>
        <v>2486.4285</v>
      </c>
      <c r="V82" s="38"/>
      <c r="W82" s="38"/>
      <c r="X82" s="38"/>
      <c r="Y82" s="38"/>
      <c r="Z82" s="48"/>
      <c r="AA82" s="36"/>
      <c r="AB82" s="36"/>
      <c r="AC82" s="36"/>
      <c r="AD82" s="102">
        <f t="shared" si="26"/>
        <v>27350.713499999998</v>
      </c>
      <c r="AE82" s="36">
        <f>AD82*AG82%</f>
        <v>10706.682955996499</v>
      </c>
      <c r="AF82" s="36">
        <f t="shared" si="29"/>
        <v>16644.030544003501</v>
      </c>
      <c r="AG82" s="41">
        <v>39.145899999999997</v>
      </c>
      <c r="AI82" s="42" t="str">
        <f>B82</f>
        <v>Муканова К.Н.</v>
      </c>
      <c r="AJ82" s="43">
        <f>M82</f>
        <v>0.5</v>
      </c>
      <c r="AK82" s="43">
        <f>AD82</f>
        <v>27350.713499999998</v>
      </c>
      <c r="AL82" s="20"/>
      <c r="AM82" s="42"/>
      <c r="AN82" s="65"/>
      <c r="AO82" s="43"/>
    </row>
    <row r="83" spans="1:41" ht="30">
      <c r="A83" s="126">
        <v>69</v>
      </c>
      <c r="B83" s="96" t="s">
        <v>192</v>
      </c>
      <c r="C83" s="114" t="s">
        <v>193</v>
      </c>
      <c r="D83" s="128" t="s">
        <v>80</v>
      </c>
      <c r="E83" s="128" t="s">
        <v>194</v>
      </c>
      <c r="F83" s="27"/>
      <c r="G83" s="27"/>
      <c r="H83" s="130" t="s">
        <v>58</v>
      </c>
      <c r="I83" s="137" t="s">
        <v>171</v>
      </c>
      <c r="J83" s="137" t="s">
        <v>171</v>
      </c>
      <c r="K83" s="138">
        <v>2</v>
      </c>
      <c r="L83" s="38">
        <v>17697</v>
      </c>
      <c r="M83" s="102">
        <v>1.5</v>
      </c>
      <c r="N83" s="36"/>
      <c r="O83" s="27">
        <v>2.81</v>
      </c>
      <c r="P83" s="38">
        <f t="shared" ref="P83:P98" si="30">L83*M83*O83</f>
        <v>74592.854999999996</v>
      </c>
      <c r="Q83" s="37">
        <f t="shared" si="27"/>
        <v>0</v>
      </c>
      <c r="R83" s="38">
        <f t="shared" si="28"/>
        <v>0</v>
      </c>
      <c r="S83" s="39"/>
      <c r="T83" s="37">
        <f t="shared" si="24"/>
        <v>0.1</v>
      </c>
      <c r="U83" s="38">
        <f t="shared" ref="U83:U98" si="31">P83*T83</f>
        <v>7459.2855</v>
      </c>
      <c r="V83" s="38"/>
      <c r="W83" s="38"/>
      <c r="X83" s="38"/>
      <c r="Y83" s="38"/>
      <c r="Z83" s="40">
        <v>0.3</v>
      </c>
      <c r="AA83" s="38">
        <f>L83*Z83*M83</f>
        <v>7963.65</v>
      </c>
      <c r="AB83" s="38"/>
      <c r="AC83" s="38"/>
      <c r="AD83" s="102">
        <f t="shared" si="26"/>
        <v>90015.790499999988</v>
      </c>
      <c r="AE83" s="36">
        <f>AD83*AG83%</f>
        <v>35237.491333339494</v>
      </c>
      <c r="AF83" s="36">
        <f t="shared" si="29"/>
        <v>54778.299166660494</v>
      </c>
      <c r="AG83" s="41">
        <v>39.145899999999997</v>
      </c>
      <c r="AI83" s="42" t="str">
        <f t="shared" ref="AI83:AI99" si="32">B83</f>
        <v>Сидорова С.А.</v>
      </c>
      <c r="AJ83" s="43">
        <f t="shared" ref="AJ83:AJ97" si="33">M83</f>
        <v>1.5</v>
      </c>
      <c r="AK83" s="43">
        <f t="shared" ref="AK83:AK90" si="34">AD83</f>
        <v>90015.790499999988</v>
      </c>
      <c r="AL83" s="20"/>
      <c r="AM83" s="42"/>
      <c r="AN83" s="65"/>
      <c r="AO83" s="43"/>
    </row>
    <row r="84" spans="1:41" ht="30">
      <c r="A84" s="134">
        <v>70</v>
      </c>
      <c r="B84" s="96" t="s">
        <v>184</v>
      </c>
      <c r="C84" s="114" t="s">
        <v>193</v>
      </c>
      <c r="D84" s="128" t="s">
        <v>80</v>
      </c>
      <c r="E84" s="128" t="s">
        <v>195</v>
      </c>
      <c r="F84" s="27"/>
      <c r="G84" s="27"/>
      <c r="H84" s="130" t="s">
        <v>58</v>
      </c>
      <c r="I84" s="137" t="s">
        <v>171</v>
      </c>
      <c r="J84" s="137" t="s">
        <v>171</v>
      </c>
      <c r="K84" s="138">
        <v>2</v>
      </c>
      <c r="L84" s="38">
        <v>17697</v>
      </c>
      <c r="M84" s="102">
        <v>0.5</v>
      </c>
      <c r="N84" s="102"/>
      <c r="O84" s="128">
        <v>2.81</v>
      </c>
      <c r="P84" s="38">
        <f t="shared" si="30"/>
        <v>24864.285</v>
      </c>
      <c r="Q84" s="37">
        <f>IF(G84&gt;0,25%,0)</f>
        <v>0</v>
      </c>
      <c r="R84" s="38">
        <f>ROUND((P84+U84)*Q84,2)</f>
        <v>0</v>
      </c>
      <c r="S84" s="39"/>
      <c r="T84" s="37">
        <f>IF(H84&gt;0,10%,0)</f>
        <v>0.1</v>
      </c>
      <c r="U84" s="38">
        <f t="shared" si="31"/>
        <v>2486.4285</v>
      </c>
      <c r="V84" s="38"/>
      <c r="W84" s="38"/>
      <c r="X84" s="38"/>
      <c r="Y84" s="38"/>
      <c r="Z84" s="40">
        <v>0.3</v>
      </c>
      <c r="AA84" s="38">
        <f>L84*Z84*M84</f>
        <v>2654.5499999999997</v>
      </c>
      <c r="AB84" s="38"/>
      <c r="AC84" s="38"/>
      <c r="AD84" s="102">
        <f t="shared" si="26"/>
        <v>30005.263499999997</v>
      </c>
      <c r="AE84" s="36">
        <f>AD84*AG84%</f>
        <v>11745.830444446499</v>
      </c>
      <c r="AF84" s="36">
        <f t="shared" si="29"/>
        <v>18259.433055553498</v>
      </c>
      <c r="AG84" s="41">
        <v>39.145899999999997</v>
      </c>
      <c r="AI84" s="42" t="str">
        <f>B84</f>
        <v>Шотова Б.Ш.</v>
      </c>
      <c r="AJ84" s="43">
        <f>M84</f>
        <v>0.5</v>
      </c>
      <c r="AK84" s="43">
        <f>AD84</f>
        <v>30005.263499999997</v>
      </c>
      <c r="AL84" s="20"/>
      <c r="AM84" s="42"/>
      <c r="AN84" s="65"/>
      <c r="AO84" s="43"/>
    </row>
    <row r="85" spans="1:41" ht="30">
      <c r="A85" s="126">
        <v>71</v>
      </c>
      <c r="B85" s="62" t="s">
        <v>196</v>
      </c>
      <c r="C85" s="45" t="s">
        <v>193</v>
      </c>
      <c r="D85" s="27" t="s">
        <v>80</v>
      </c>
      <c r="E85" s="27" t="s">
        <v>197</v>
      </c>
      <c r="F85" s="27"/>
      <c r="G85" s="27"/>
      <c r="H85" s="63" t="s">
        <v>58</v>
      </c>
      <c r="I85" s="137" t="s">
        <v>171</v>
      </c>
      <c r="J85" s="137" t="s">
        <v>171</v>
      </c>
      <c r="K85" s="138">
        <v>2</v>
      </c>
      <c r="L85" s="38">
        <v>17697</v>
      </c>
      <c r="M85" s="36">
        <v>0.5</v>
      </c>
      <c r="N85" s="36"/>
      <c r="O85" s="27">
        <v>2.81</v>
      </c>
      <c r="P85" s="38">
        <f t="shared" si="30"/>
        <v>24864.285</v>
      </c>
      <c r="Q85" s="37">
        <f t="shared" si="27"/>
        <v>0</v>
      </c>
      <c r="R85" s="38">
        <f t="shared" si="28"/>
        <v>0</v>
      </c>
      <c r="S85" s="39"/>
      <c r="T85" s="37">
        <f t="shared" si="24"/>
        <v>0.1</v>
      </c>
      <c r="U85" s="38">
        <f t="shared" si="31"/>
        <v>2486.4285</v>
      </c>
      <c r="V85" s="38"/>
      <c r="W85" s="38"/>
      <c r="X85" s="38"/>
      <c r="Y85" s="38"/>
      <c r="Z85" s="40">
        <v>0.3</v>
      </c>
      <c r="AA85" s="38">
        <f>L85*Z85*M85</f>
        <v>2654.5499999999997</v>
      </c>
      <c r="AB85" s="38"/>
      <c r="AC85" s="38"/>
      <c r="AD85" s="36">
        <f t="shared" si="26"/>
        <v>30005.263499999997</v>
      </c>
      <c r="AE85" s="36">
        <f>AD85*AG85%</f>
        <v>11745.830444446499</v>
      </c>
      <c r="AF85" s="36">
        <f t="shared" si="29"/>
        <v>18259.433055553498</v>
      </c>
      <c r="AG85" s="41">
        <v>39.145899999999997</v>
      </c>
      <c r="AI85" s="42" t="str">
        <f t="shared" si="32"/>
        <v>Акпанова А.К.</v>
      </c>
      <c r="AJ85" s="43">
        <f t="shared" si="33"/>
        <v>0.5</v>
      </c>
      <c r="AK85" s="43">
        <f t="shared" si="34"/>
        <v>30005.263499999997</v>
      </c>
      <c r="AL85" s="20"/>
      <c r="AM85" s="42"/>
      <c r="AN85" s="65"/>
      <c r="AO85" s="43"/>
    </row>
    <row r="86" spans="1:41" ht="30">
      <c r="A86" s="126">
        <v>72</v>
      </c>
      <c r="B86" s="96" t="s">
        <v>62</v>
      </c>
      <c r="C86" s="114" t="s">
        <v>193</v>
      </c>
      <c r="D86" s="128" t="s">
        <v>80</v>
      </c>
      <c r="E86" s="128"/>
      <c r="F86" s="27"/>
      <c r="G86" s="27"/>
      <c r="H86" s="100" t="s">
        <v>58</v>
      </c>
      <c r="I86" s="137" t="s">
        <v>171</v>
      </c>
      <c r="J86" s="137" t="s">
        <v>171</v>
      </c>
      <c r="K86" s="138">
        <v>2</v>
      </c>
      <c r="L86" s="38">
        <v>17697</v>
      </c>
      <c r="M86" s="102">
        <v>0.5</v>
      </c>
      <c r="N86" s="102"/>
      <c r="O86" s="128">
        <v>2.81</v>
      </c>
      <c r="P86" s="38">
        <f t="shared" si="30"/>
        <v>24864.285</v>
      </c>
      <c r="Q86" s="37"/>
      <c r="R86" s="38"/>
      <c r="S86" s="39"/>
      <c r="T86" s="37">
        <f t="shared" si="24"/>
        <v>0.1</v>
      </c>
      <c r="U86" s="38">
        <f t="shared" si="31"/>
        <v>2486.4285</v>
      </c>
      <c r="V86" s="38"/>
      <c r="W86" s="38"/>
      <c r="X86" s="38"/>
      <c r="Y86" s="38"/>
      <c r="Z86" s="40">
        <v>0.3</v>
      </c>
      <c r="AA86" s="38">
        <f>L86*Z86*M86</f>
        <v>2654.5499999999997</v>
      </c>
      <c r="AB86" s="38"/>
      <c r="AC86" s="38"/>
      <c r="AD86" s="102">
        <f t="shared" si="26"/>
        <v>30005.263499999997</v>
      </c>
      <c r="AE86" s="36"/>
      <c r="AF86" s="36"/>
      <c r="AG86" s="41"/>
      <c r="AI86" s="42" t="str">
        <f t="shared" si="32"/>
        <v>Вакансия</v>
      </c>
      <c r="AJ86" s="43">
        <f t="shared" si="33"/>
        <v>0.5</v>
      </c>
      <c r="AK86" s="43"/>
      <c r="AL86" s="20"/>
      <c r="AM86" s="42"/>
      <c r="AN86" s="65"/>
      <c r="AO86" s="43"/>
    </row>
    <row r="87" spans="1:41" ht="30">
      <c r="A87" s="134">
        <v>73</v>
      </c>
      <c r="B87" s="96" t="s">
        <v>198</v>
      </c>
      <c r="C87" s="114" t="s">
        <v>199</v>
      </c>
      <c r="D87" s="128" t="s">
        <v>80</v>
      </c>
      <c r="E87" s="128" t="s">
        <v>200</v>
      </c>
      <c r="F87" s="27"/>
      <c r="G87" s="27"/>
      <c r="H87" s="100" t="s">
        <v>58</v>
      </c>
      <c r="I87" s="137" t="s">
        <v>171</v>
      </c>
      <c r="J87" s="137" t="s">
        <v>171</v>
      </c>
      <c r="K87" s="138">
        <v>2</v>
      </c>
      <c r="L87" s="38">
        <v>17697</v>
      </c>
      <c r="M87" s="102">
        <v>1.5</v>
      </c>
      <c r="N87" s="102"/>
      <c r="O87" s="128">
        <v>2.81</v>
      </c>
      <c r="P87" s="38">
        <f t="shared" si="30"/>
        <v>74592.854999999996</v>
      </c>
      <c r="Q87" s="37">
        <f t="shared" si="27"/>
        <v>0</v>
      </c>
      <c r="R87" s="38">
        <f t="shared" si="28"/>
        <v>0</v>
      </c>
      <c r="S87" s="39"/>
      <c r="T87" s="37">
        <f t="shared" si="24"/>
        <v>0.1</v>
      </c>
      <c r="U87" s="38">
        <f t="shared" si="31"/>
        <v>7459.2855</v>
      </c>
      <c r="V87" s="38"/>
      <c r="W87" s="38"/>
      <c r="X87" s="38"/>
      <c r="Y87" s="38"/>
      <c r="Z87" s="40">
        <v>0.3</v>
      </c>
      <c r="AA87" s="38">
        <f>L87*Z87*M87</f>
        <v>7963.65</v>
      </c>
      <c r="AB87" s="38"/>
      <c r="AC87" s="38"/>
      <c r="AD87" s="102">
        <f t="shared" si="26"/>
        <v>90015.790499999988</v>
      </c>
      <c r="AE87" s="36">
        <f>AD87*AG87%</f>
        <v>35237.491333339494</v>
      </c>
      <c r="AF87" s="36">
        <f t="shared" si="29"/>
        <v>54778.299166660494</v>
      </c>
      <c r="AG87" s="41">
        <v>39.145899999999997</v>
      </c>
      <c r="AI87" s="42" t="str">
        <f t="shared" si="32"/>
        <v>Букурова Г.С.</v>
      </c>
      <c r="AJ87" s="43">
        <f t="shared" si="33"/>
        <v>1.5</v>
      </c>
      <c r="AK87" s="43">
        <f t="shared" si="34"/>
        <v>90015.790499999988</v>
      </c>
      <c r="AL87" s="20"/>
      <c r="AM87" s="42"/>
      <c r="AN87" s="65"/>
      <c r="AO87" s="43"/>
    </row>
    <row r="88" spans="1:41" ht="30">
      <c r="A88" s="126">
        <v>74</v>
      </c>
      <c r="B88" s="96" t="s">
        <v>201</v>
      </c>
      <c r="C88" s="114" t="s">
        <v>202</v>
      </c>
      <c r="D88" s="128" t="s">
        <v>80</v>
      </c>
      <c r="E88" s="128" t="s">
        <v>203</v>
      </c>
      <c r="F88" s="27"/>
      <c r="G88" s="27"/>
      <c r="H88" s="100" t="s">
        <v>58</v>
      </c>
      <c r="I88" s="137" t="s">
        <v>171</v>
      </c>
      <c r="J88" s="137" t="s">
        <v>171</v>
      </c>
      <c r="K88" s="138">
        <v>2</v>
      </c>
      <c r="L88" s="38">
        <v>17697</v>
      </c>
      <c r="M88" s="102">
        <v>1</v>
      </c>
      <c r="N88" s="102"/>
      <c r="O88" s="128">
        <v>2.81</v>
      </c>
      <c r="P88" s="38">
        <f t="shared" si="30"/>
        <v>49728.57</v>
      </c>
      <c r="Q88" s="37"/>
      <c r="R88" s="38"/>
      <c r="S88" s="39"/>
      <c r="T88" s="37">
        <f t="shared" si="24"/>
        <v>0.1</v>
      </c>
      <c r="U88" s="38">
        <f t="shared" si="31"/>
        <v>4972.857</v>
      </c>
      <c r="V88" s="38"/>
      <c r="W88" s="38"/>
      <c r="X88" s="38"/>
      <c r="Y88" s="38"/>
      <c r="Z88" s="40"/>
      <c r="AA88" s="38"/>
      <c r="AB88" s="38"/>
      <c r="AC88" s="38"/>
      <c r="AD88" s="102">
        <f t="shared" si="26"/>
        <v>54701.426999999996</v>
      </c>
      <c r="AE88" s="36"/>
      <c r="AF88" s="36"/>
      <c r="AG88" s="41"/>
      <c r="AI88" s="42" t="str">
        <f t="shared" si="32"/>
        <v>Рахметова Б.</v>
      </c>
      <c r="AJ88" s="43">
        <f t="shared" si="33"/>
        <v>1</v>
      </c>
      <c r="AK88" s="43"/>
      <c r="AL88" s="20"/>
      <c r="AM88" s="42"/>
      <c r="AN88" s="65"/>
      <c r="AO88" s="43"/>
    </row>
    <row r="89" spans="1:41" ht="30">
      <c r="A89" s="126">
        <v>75</v>
      </c>
      <c r="B89" s="96" t="s">
        <v>201</v>
      </c>
      <c r="C89" s="114" t="s">
        <v>199</v>
      </c>
      <c r="D89" s="128" t="s">
        <v>80</v>
      </c>
      <c r="E89" s="128" t="s">
        <v>204</v>
      </c>
      <c r="F89" s="27"/>
      <c r="G89" s="27"/>
      <c r="H89" s="100" t="s">
        <v>58</v>
      </c>
      <c r="I89" s="137" t="s">
        <v>171</v>
      </c>
      <c r="J89" s="137" t="s">
        <v>171</v>
      </c>
      <c r="K89" s="138">
        <v>2</v>
      </c>
      <c r="L89" s="38">
        <v>17697</v>
      </c>
      <c r="M89" s="102">
        <v>0.5</v>
      </c>
      <c r="N89" s="102"/>
      <c r="O89" s="128">
        <v>2.81</v>
      </c>
      <c r="P89" s="38">
        <f t="shared" si="30"/>
        <v>24864.285</v>
      </c>
      <c r="Q89" s="37">
        <f t="shared" si="27"/>
        <v>0</v>
      </c>
      <c r="R89" s="38">
        <f t="shared" si="28"/>
        <v>0</v>
      </c>
      <c r="S89" s="39"/>
      <c r="T89" s="37">
        <f t="shared" si="24"/>
        <v>0.1</v>
      </c>
      <c r="U89" s="38">
        <f t="shared" si="31"/>
        <v>2486.4285</v>
      </c>
      <c r="V89" s="38"/>
      <c r="W89" s="38"/>
      <c r="X89" s="38"/>
      <c r="Y89" s="38"/>
      <c r="Z89" s="40">
        <v>0.3</v>
      </c>
      <c r="AA89" s="38">
        <f>L89*Z89*M89</f>
        <v>2654.5499999999997</v>
      </c>
      <c r="AB89" s="38"/>
      <c r="AC89" s="38"/>
      <c r="AD89" s="102">
        <f t="shared" si="26"/>
        <v>30005.263499999997</v>
      </c>
      <c r="AE89" s="36">
        <f>AD89*AG89%</f>
        <v>11745.830444446499</v>
      </c>
      <c r="AF89" s="36">
        <f t="shared" ref="AF89:AF94" si="35">AD89-AE89</f>
        <v>18259.433055553498</v>
      </c>
      <c r="AG89" s="41">
        <v>39.145899999999997</v>
      </c>
      <c r="AI89" s="42" t="str">
        <f t="shared" si="32"/>
        <v>Рахметова Б.</v>
      </c>
      <c r="AJ89" s="43">
        <f t="shared" si="33"/>
        <v>0.5</v>
      </c>
      <c r="AK89" s="43">
        <f t="shared" si="34"/>
        <v>30005.263499999997</v>
      </c>
      <c r="AL89" s="20"/>
      <c r="AM89" s="42"/>
      <c r="AN89" s="65"/>
      <c r="AO89" s="43"/>
    </row>
    <row r="90" spans="1:41" ht="30">
      <c r="A90" s="134">
        <v>76</v>
      </c>
      <c r="B90" s="62" t="s">
        <v>205</v>
      </c>
      <c r="C90" s="45" t="s">
        <v>206</v>
      </c>
      <c r="D90" s="27" t="s">
        <v>80</v>
      </c>
      <c r="E90" s="27" t="s">
        <v>207</v>
      </c>
      <c r="F90" s="27"/>
      <c r="G90" s="27"/>
      <c r="H90" s="63" t="s">
        <v>58</v>
      </c>
      <c r="I90" s="137" t="s">
        <v>171</v>
      </c>
      <c r="J90" s="137" t="s">
        <v>171</v>
      </c>
      <c r="K90" s="138">
        <v>2</v>
      </c>
      <c r="L90" s="38">
        <v>17697</v>
      </c>
      <c r="M90" s="36">
        <v>0.5</v>
      </c>
      <c r="N90" s="36"/>
      <c r="O90" s="27">
        <v>2.81</v>
      </c>
      <c r="P90" s="38">
        <f t="shared" si="30"/>
        <v>24864.285</v>
      </c>
      <c r="Q90" s="37">
        <f t="shared" si="27"/>
        <v>0</v>
      </c>
      <c r="R90" s="38">
        <f t="shared" si="28"/>
        <v>0</v>
      </c>
      <c r="S90" s="39"/>
      <c r="T90" s="37">
        <f t="shared" si="24"/>
        <v>0.1</v>
      </c>
      <c r="U90" s="38">
        <f t="shared" si="31"/>
        <v>2486.4285</v>
      </c>
      <c r="V90" s="38"/>
      <c r="W90" s="38"/>
      <c r="X90" s="38"/>
      <c r="Y90" s="38"/>
      <c r="Z90" s="48"/>
      <c r="AA90" s="36"/>
      <c r="AB90" s="36"/>
      <c r="AC90" s="36"/>
      <c r="AD90" s="36">
        <f t="shared" si="26"/>
        <v>27350.713499999998</v>
      </c>
      <c r="AE90" s="36">
        <f>AD90*AG90%</f>
        <v>10706.682955996499</v>
      </c>
      <c r="AF90" s="36">
        <f t="shared" si="35"/>
        <v>16644.030544003501</v>
      </c>
      <c r="AG90" s="41">
        <v>39.145899999999997</v>
      </c>
      <c r="AI90" s="42" t="str">
        <f t="shared" si="32"/>
        <v>Арынов Б</v>
      </c>
      <c r="AJ90" s="43">
        <f t="shared" si="33"/>
        <v>0.5</v>
      </c>
      <c r="AK90" s="43">
        <f t="shared" si="34"/>
        <v>27350.713499999998</v>
      </c>
      <c r="AL90" s="20"/>
      <c r="AM90" s="42"/>
      <c r="AN90" s="65"/>
      <c r="AO90" s="43"/>
    </row>
    <row r="91" spans="1:41" ht="30">
      <c r="A91" s="126">
        <v>77</v>
      </c>
      <c r="B91" s="96" t="s">
        <v>208</v>
      </c>
      <c r="C91" s="114" t="s">
        <v>206</v>
      </c>
      <c r="D91" s="128" t="s">
        <v>80</v>
      </c>
      <c r="E91" s="128" t="s">
        <v>209</v>
      </c>
      <c r="F91" s="27"/>
      <c r="G91" s="27"/>
      <c r="H91" s="130" t="s">
        <v>58</v>
      </c>
      <c r="I91" s="137" t="s">
        <v>171</v>
      </c>
      <c r="J91" s="137" t="s">
        <v>171</v>
      </c>
      <c r="K91" s="138">
        <v>2</v>
      </c>
      <c r="L91" s="38">
        <v>17697</v>
      </c>
      <c r="M91" s="102">
        <v>0.5</v>
      </c>
      <c r="N91" s="102"/>
      <c r="O91" s="128">
        <v>2.81</v>
      </c>
      <c r="P91" s="38">
        <f t="shared" si="30"/>
        <v>24864.285</v>
      </c>
      <c r="Q91" s="37">
        <f>IF(G91&gt;0,25%,0)</f>
        <v>0</v>
      </c>
      <c r="R91" s="38">
        <f t="shared" si="28"/>
        <v>0</v>
      </c>
      <c r="S91" s="39"/>
      <c r="T91" s="37">
        <f t="shared" si="24"/>
        <v>0.1</v>
      </c>
      <c r="U91" s="38">
        <f t="shared" si="31"/>
        <v>2486.4285</v>
      </c>
      <c r="V91" s="38"/>
      <c r="W91" s="38"/>
      <c r="X91" s="38"/>
      <c r="Y91" s="38"/>
      <c r="Z91" s="48"/>
      <c r="AA91" s="36"/>
      <c r="AB91" s="36"/>
      <c r="AC91" s="36"/>
      <c r="AD91" s="102">
        <f t="shared" si="26"/>
        <v>27350.713499999998</v>
      </c>
      <c r="AE91" s="36">
        <f>AD91*AG91%</f>
        <v>10706.682955996499</v>
      </c>
      <c r="AF91" s="36">
        <f t="shared" si="35"/>
        <v>16644.030544003501</v>
      </c>
      <c r="AG91" s="41">
        <v>39.145899999999997</v>
      </c>
      <c r="AI91" s="42" t="str">
        <f t="shared" si="32"/>
        <v>Мухтаев А.Т.</v>
      </c>
      <c r="AJ91" s="43">
        <f t="shared" si="33"/>
        <v>0.5</v>
      </c>
      <c r="AK91" s="43">
        <f>AD91</f>
        <v>27350.713499999998</v>
      </c>
      <c r="AL91" s="20"/>
      <c r="AM91" s="42"/>
      <c r="AN91" s="65"/>
      <c r="AO91" s="43"/>
    </row>
    <row r="92" spans="1:41" ht="30">
      <c r="A92" s="126">
        <v>78</v>
      </c>
      <c r="B92" s="96" t="s">
        <v>210</v>
      </c>
      <c r="C92" s="114" t="s">
        <v>206</v>
      </c>
      <c r="D92" s="128" t="s">
        <v>80</v>
      </c>
      <c r="E92" s="128" t="s">
        <v>211</v>
      </c>
      <c r="F92" s="27"/>
      <c r="G92" s="27"/>
      <c r="H92" s="130" t="s">
        <v>58</v>
      </c>
      <c r="I92" s="137" t="s">
        <v>171</v>
      </c>
      <c r="J92" s="137" t="s">
        <v>171</v>
      </c>
      <c r="K92" s="138">
        <v>2</v>
      </c>
      <c r="L92" s="38">
        <v>17697</v>
      </c>
      <c r="M92" s="102">
        <v>0.5</v>
      </c>
      <c r="N92" s="102"/>
      <c r="O92" s="128">
        <v>2.81</v>
      </c>
      <c r="P92" s="38">
        <f t="shared" si="30"/>
        <v>24864.285</v>
      </c>
      <c r="Q92" s="37">
        <f>IF(G92&gt;0,25%,0)</f>
        <v>0</v>
      </c>
      <c r="R92" s="38">
        <f t="shared" si="28"/>
        <v>0</v>
      </c>
      <c r="S92" s="39"/>
      <c r="T92" s="37">
        <f t="shared" si="24"/>
        <v>0.1</v>
      </c>
      <c r="U92" s="38">
        <f t="shared" si="31"/>
        <v>2486.4285</v>
      </c>
      <c r="V92" s="38"/>
      <c r="W92" s="38"/>
      <c r="X92" s="38"/>
      <c r="Y92" s="38"/>
      <c r="Z92" s="48"/>
      <c r="AA92" s="36"/>
      <c r="AB92" s="36"/>
      <c r="AC92" s="36"/>
      <c r="AD92" s="102">
        <f t="shared" si="26"/>
        <v>27350.713499999998</v>
      </c>
      <c r="AE92" s="36">
        <f>AD92*AG92%</f>
        <v>10706.682955996499</v>
      </c>
      <c r="AF92" s="36">
        <f t="shared" si="35"/>
        <v>16644.030544003501</v>
      </c>
      <c r="AG92" s="41">
        <v>39.145899999999997</v>
      </c>
      <c r="AH92" s="5"/>
      <c r="AI92" s="42" t="str">
        <f t="shared" si="32"/>
        <v>Оспанбеков Б.Т</v>
      </c>
      <c r="AJ92" s="43">
        <f t="shared" si="33"/>
        <v>0.5</v>
      </c>
      <c r="AK92" s="43">
        <f>AD92</f>
        <v>27350.713499999998</v>
      </c>
      <c r="AL92" s="20"/>
      <c r="AM92" s="42"/>
      <c r="AN92" s="65"/>
      <c r="AO92" s="43"/>
    </row>
    <row r="93" spans="1:41" ht="30">
      <c r="A93" s="134">
        <v>79</v>
      </c>
      <c r="B93" s="96" t="s">
        <v>212</v>
      </c>
      <c r="C93" s="114" t="s">
        <v>206</v>
      </c>
      <c r="D93" s="128" t="s">
        <v>80</v>
      </c>
      <c r="E93" s="128" t="s">
        <v>213</v>
      </c>
      <c r="F93" s="27"/>
      <c r="G93" s="27"/>
      <c r="H93" s="130" t="s">
        <v>58</v>
      </c>
      <c r="I93" s="137" t="s">
        <v>171</v>
      </c>
      <c r="J93" s="137" t="s">
        <v>171</v>
      </c>
      <c r="K93" s="138">
        <v>2</v>
      </c>
      <c r="L93" s="38">
        <v>17697</v>
      </c>
      <c r="M93" s="102">
        <v>0.5</v>
      </c>
      <c r="N93" s="102"/>
      <c r="O93" s="128">
        <v>2.81</v>
      </c>
      <c r="P93" s="38">
        <f t="shared" si="30"/>
        <v>24864.285</v>
      </c>
      <c r="Q93" s="37">
        <f>IF(G93&gt;0,25%,0)</f>
        <v>0</v>
      </c>
      <c r="R93" s="38">
        <f t="shared" si="28"/>
        <v>0</v>
      </c>
      <c r="S93" s="39"/>
      <c r="T93" s="37">
        <f t="shared" si="24"/>
        <v>0.1</v>
      </c>
      <c r="U93" s="38">
        <f t="shared" si="31"/>
        <v>2486.4285</v>
      </c>
      <c r="V93" s="38"/>
      <c r="W93" s="38"/>
      <c r="X93" s="38"/>
      <c r="Y93" s="38"/>
      <c r="Z93" s="48"/>
      <c r="AA93" s="36"/>
      <c r="AB93" s="36"/>
      <c r="AC93" s="36"/>
      <c r="AD93" s="102">
        <f t="shared" si="26"/>
        <v>27350.713499999998</v>
      </c>
      <c r="AE93" s="36">
        <f>AD93*AG93%</f>
        <v>10706.682955996499</v>
      </c>
      <c r="AF93" s="36">
        <f>AD93-AE93</f>
        <v>16644.030544003501</v>
      </c>
      <c r="AG93" s="41">
        <v>39.145899999999997</v>
      </c>
      <c r="AI93" s="42" t="str">
        <f t="shared" si="32"/>
        <v>Суюшпаев Б</v>
      </c>
      <c r="AJ93" s="43">
        <f t="shared" si="33"/>
        <v>0.5</v>
      </c>
      <c r="AK93" s="43">
        <f>AD93</f>
        <v>27350.713499999998</v>
      </c>
      <c r="AL93" s="20"/>
      <c r="AM93" s="42"/>
      <c r="AN93" s="65"/>
      <c r="AO93" s="43"/>
    </row>
    <row r="94" spans="1:41" s="3" customFormat="1" ht="30">
      <c r="A94" s="126">
        <v>80</v>
      </c>
      <c r="B94" s="96" t="s">
        <v>205</v>
      </c>
      <c r="C94" s="127" t="s">
        <v>214</v>
      </c>
      <c r="D94" s="128" t="s">
        <v>80</v>
      </c>
      <c r="E94" s="128"/>
      <c r="F94" s="128"/>
      <c r="G94" s="128"/>
      <c r="H94" s="130" t="s">
        <v>58</v>
      </c>
      <c r="I94" s="131" t="s">
        <v>171</v>
      </c>
      <c r="J94" s="131" t="s">
        <v>171</v>
      </c>
      <c r="K94" s="132">
        <v>1</v>
      </c>
      <c r="L94" s="106">
        <v>17697</v>
      </c>
      <c r="M94" s="102">
        <v>1</v>
      </c>
      <c r="N94" s="102"/>
      <c r="O94" s="128">
        <v>2.77</v>
      </c>
      <c r="P94" s="106">
        <f t="shared" si="30"/>
        <v>49020.69</v>
      </c>
      <c r="Q94" s="105">
        <f>IF(G94&gt;0,25%,0)</f>
        <v>0</v>
      </c>
      <c r="R94" s="106">
        <f t="shared" si="28"/>
        <v>0</v>
      </c>
      <c r="S94" s="107"/>
      <c r="T94" s="105">
        <f t="shared" si="24"/>
        <v>0.1</v>
      </c>
      <c r="U94" s="106">
        <f t="shared" si="31"/>
        <v>4902.0690000000004</v>
      </c>
      <c r="V94" s="106"/>
      <c r="W94" s="106"/>
      <c r="X94" s="106"/>
      <c r="Y94" s="106"/>
      <c r="Z94" s="133"/>
      <c r="AA94" s="102">
        <f>(P94*0.1342297)/2+(49020.69*0.4755001)/2</f>
        <v>14944.687754781</v>
      </c>
      <c r="AB94" s="102"/>
      <c r="AC94" s="102"/>
      <c r="AD94" s="102">
        <f t="shared" si="26"/>
        <v>68867.446754781005</v>
      </c>
      <c r="AE94" s="102">
        <f>AD94*AG94%</f>
        <v>29088.438762624664</v>
      </c>
      <c r="AF94" s="102">
        <f t="shared" si="35"/>
        <v>39779.007992156345</v>
      </c>
      <c r="AG94" s="109">
        <v>42.238300000000002</v>
      </c>
      <c r="AH94" s="156"/>
      <c r="AI94" s="116" t="str">
        <f t="shared" si="32"/>
        <v>Арынов Б</v>
      </c>
      <c r="AJ94" s="117">
        <f t="shared" si="33"/>
        <v>1</v>
      </c>
      <c r="AK94" s="117">
        <f>AD94</f>
        <v>68867.446754781005</v>
      </c>
      <c r="AL94" s="111"/>
      <c r="AM94" s="116"/>
      <c r="AN94" s="118"/>
      <c r="AO94" s="117"/>
    </row>
    <row r="95" spans="1:41" s="3" customFormat="1" ht="30">
      <c r="A95" s="126">
        <v>81</v>
      </c>
      <c r="B95" s="96" t="s">
        <v>208</v>
      </c>
      <c r="C95" s="157" t="s">
        <v>214</v>
      </c>
      <c r="D95" s="128" t="s">
        <v>80</v>
      </c>
      <c r="E95" s="128" t="s">
        <v>215</v>
      </c>
      <c r="F95" s="128"/>
      <c r="G95" s="128"/>
      <c r="H95" s="130" t="s">
        <v>58</v>
      </c>
      <c r="I95" s="131" t="s">
        <v>171</v>
      </c>
      <c r="J95" s="131" t="s">
        <v>171</v>
      </c>
      <c r="K95" s="132">
        <v>1</v>
      </c>
      <c r="L95" s="106">
        <v>17697</v>
      </c>
      <c r="M95" s="102">
        <v>1</v>
      </c>
      <c r="N95" s="102"/>
      <c r="O95" s="128">
        <v>2.77</v>
      </c>
      <c r="P95" s="106">
        <f t="shared" si="30"/>
        <v>49020.69</v>
      </c>
      <c r="Q95" s="105">
        <f>IF(G95&gt;0,25%,0)</f>
        <v>0</v>
      </c>
      <c r="R95" s="106">
        <f t="shared" si="28"/>
        <v>0</v>
      </c>
      <c r="S95" s="107"/>
      <c r="T95" s="105">
        <f t="shared" si="24"/>
        <v>0.1</v>
      </c>
      <c r="U95" s="106">
        <f t="shared" si="31"/>
        <v>4902.0690000000004</v>
      </c>
      <c r="V95" s="106"/>
      <c r="W95" s="106"/>
      <c r="X95" s="106"/>
      <c r="Y95" s="106"/>
      <c r="Z95" s="133"/>
      <c r="AA95" s="102">
        <f>(P95*0.1342297)/2+(49020.69*0.4755001)/2</f>
        <v>14944.687754781</v>
      </c>
      <c r="AB95" s="102"/>
      <c r="AC95" s="102"/>
      <c r="AD95" s="102">
        <f t="shared" si="26"/>
        <v>68867.446754781005</v>
      </c>
      <c r="AE95" s="102">
        <f>AD95*AG95%</f>
        <v>29088.438762624664</v>
      </c>
      <c r="AF95" s="102">
        <f>AD95-AE95</f>
        <v>39779.007992156345</v>
      </c>
      <c r="AG95" s="109">
        <v>42.238300000000002</v>
      </c>
      <c r="AI95" s="116" t="str">
        <f t="shared" si="32"/>
        <v>Мухтаев А.Т.</v>
      </c>
      <c r="AJ95" s="117">
        <f t="shared" si="33"/>
        <v>1</v>
      </c>
      <c r="AK95" s="117">
        <f>AD95</f>
        <v>68867.446754781005</v>
      </c>
      <c r="AM95" s="116"/>
      <c r="AN95" s="118"/>
      <c r="AO95" s="117"/>
    </row>
    <row r="96" spans="1:41" s="3" customFormat="1" ht="30">
      <c r="A96" s="134">
        <v>82</v>
      </c>
      <c r="B96" s="96" t="s">
        <v>212</v>
      </c>
      <c r="C96" s="157" t="s">
        <v>214</v>
      </c>
      <c r="D96" s="128" t="s">
        <v>80</v>
      </c>
      <c r="E96" s="128" t="s">
        <v>203</v>
      </c>
      <c r="F96" s="128"/>
      <c r="G96" s="128"/>
      <c r="H96" s="130" t="s">
        <v>58</v>
      </c>
      <c r="I96" s="131" t="s">
        <v>171</v>
      </c>
      <c r="J96" s="131" t="s">
        <v>171</v>
      </c>
      <c r="K96" s="132">
        <v>1</v>
      </c>
      <c r="L96" s="106">
        <v>17697</v>
      </c>
      <c r="M96" s="102">
        <v>1</v>
      </c>
      <c r="N96" s="102"/>
      <c r="O96" s="128">
        <v>2.77</v>
      </c>
      <c r="P96" s="106">
        <f t="shared" si="30"/>
        <v>49020.69</v>
      </c>
      <c r="Q96" s="105"/>
      <c r="R96" s="106"/>
      <c r="S96" s="107"/>
      <c r="T96" s="105">
        <f t="shared" si="24"/>
        <v>0.1</v>
      </c>
      <c r="U96" s="106">
        <f t="shared" si="31"/>
        <v>4902.0690000000004</v>
      </c>
      <c r="V96" s="106"/>
      <c r="W96" s="106"/>
      <c r="X96" s="106"/>
      <c r="Y96" s="106"/>
      <c r="Z96" s="133"/>
      <c r="AA96" s="102">
        <f>(P96*0.1342297)/2+(49020.69*0.4755001)/2</f>
        <v>14944.687754781</v>
      </c>
      <c r="AB96" s="102"/>
      <c r="AC96" s="102"/>
      <c r="AD96" s="102">
        <f t="shared" si="26"/>
        <v>68867.446754781005</v>
      </c>
      <c r="AE96" s="102"/>
      <c r="AF96" s="102"/>
      <c r="AG96" s="109"/>
      <c r="AI96" s="116" t="str">
        <f t="shared" si="32"/>
        <v>Суюшпаев Б</v>
      </c>
      <c r="AJ96" s="117">
        <f t="shared" si="33"/>
        <v>1</v>
      </c>
      <c r="AK96" s="117"/>
      <c r="AM96" s="116"/>
      <c r="AN96" s="118"/>
      <c r="AO96" s="117"/>
    </row>
    <row r="97" spans="1:41" ht="30">
      <c r="A97" s="126">
        <v>83</v>
      </c>
      <c r="B97" s="62" t="s">
        <v>216</v>
      </c>
      <c r="C97" s="158" t="s">
        <v>217</v>
      </c>
      <c r="D97" s="27" t="s">
        <v>80</v>
      </c>
      <c r="E97" s="27" t="s">
        <v>218</v>
      </c>
      <c r="F97" s="27"/>
      <c r="G97" s="27"/>
      <c r="H97" s="63" t="s">
        <v>58</v>
      </c>
      <c r="I97" s="137" t="s">
        <v>171</v>
      </c>
      <c r="J97" s="137" t="s">
        <v>171</v>
      </c>
      <c r="K97" s="138">
        <v>2</v>
      </c>
      <c r="L97" s="38">
        <v>17697</v>
      </c>
      <c r="M97" s="36">
        <v>1</v>
      </c>
      <c r="N97" s="36"/>
      <c r="O97" s="27">
        <v>2.81</v>
      </c>
      <c r="P97" s="38">
        <f t="shared" si="30"/>
        <v>49728.57</v>
      </c>
      <c r="Q97" s="37"/>
      <c r="R97" s="38"/>
      <c r="S97" s="39"/>
      <c r="T97" s="37">
        <f t="shared" si="24"/>
        <v>0.1</v>
      </c>
      <c r="U97" s="38">
        <f t="shared" si="31"/>
        <v>4972.857</v>
      </c>
      <c r="V97" s="38"/>
      <c r="W97" s="38"/>
      <c r="X97" s="38"/>
      <c r="Y97" s="38"/>
      <c r="Z97" s="48"/>
      <c r="AA97" s="36">
        <f>L97*M97*Z97</f>
        <v>0</v>
      </c>
      <c r="AB97" s="36"/>
      <c r="AC97" s="36"/>
      <c r="AD97" s="36">
        <f t="shared" si="26"/>
        <v>54701.426999999996</v>
      </c>
      <c r="AE97" s="36"/>
      <c r="AF97" s="36"/>
      <c r="AG97" s="41"/>
      <c r="AI97" s="42" t="str">
        <f t="shared" si="32"/>
        <v>Жекебай Т.</v>
      </c>
      <c r="AJ97" s="43">
        <f t="shared" si="33"/>
        <v>1</v>
      </c>
      <c r="AK97" s="43">
        <f>AD97</f>
        <v>54701.426999999996</v>
      </c>
      <c r="AL97" s="87"/>
      <c r="AM97" s="42"/>
      <c r="AN97" s="65"/>
      <c r="AO97" s="43"/>
    </row>
    <row r="98" spans="1:41" ht="30">
      <c r="A98" s="126">
        <v>84</v>
      </c>
      <c r="B98" s="42" t="s">
        <v>216</v>
      </c>
      <c r="C98" s="45" t="s">
        <v>202</v>
      </c>
      <c r="D98" s="42" t="s">
        <v>80</v>
      </c>
      <c r="E98" s="27" t="s">
        <v>219</v>
      </c>
      <c r="F98" s="42"/>
      <c r="G98" s="42"/>
      <c r="H98" s="93" t="s">
        <v>58</v>
      </c>
      <c r="I98" s="137" t="s">
        <v>171</v>
      </c>
      <c r="J98" s="137" t="s">
        <v>171</v>
      </c>
      <c r="K98" s="138">
        <v>2</v>
      </c>
      <c r="L98" s="38">
        <v>17697</v>
      </c>
      <c r="M98" s="36">
        <v>0.5</v>
      </c>
      <c r="N98" s="36"/>
      <c r="O98" s="27">
        <v>2.81</v>
      </c>
      <c r="P98" s="38">
        <f t="shared" si="30"/>
        <v>24864.285</v>
      </c>
      <c r="Q98" s="42"/>
      <c r="R98" s="42"/>
      <c r="S98" s="42"/>
      <c r="T98" s="37">
        <f t="shared" si="24"/>
        <v>0.1</v>
      </c>
      <c r="U98" s="38">
        <f t="shared" si="31"/>
        <v>2486.4285</v>
      </c>
      <c r="V98" s="42"/>
      <c r="W98" s="42"/>
      <c r="X98" s="42"/>
      <c r="Y98" s="42"/>
      <c r="Z98" s="48"/>
      <c r="AA98" s="36"/>
      <c r="AB98" s="36"/>
      <c r="AC98" s="36"/>
      <c r="AD98" s="36">
        <f t="shared" si="26"/>
        <v>27350.713499999998</v>
      </c>
      <c r="AE98" s="42"/>
      <c r="AF98" s="42"/>
      <c r="AI98" s="6" t="str">
        <f t="shared" si="32"/>
        <v>Жекебай Т.</v>
      </c>
    </row>
    <row r="99" spans="1:41" ht="30">
      <c r="A99" s="126">
        <v>85</v>
      </c>
      <c r="B99" s="42" t="s">
        <v>62</v>
      </c>
      <c r="C99" s="45" t="s">
        <v>202</v>
      </c>
      <c r="D99" s="42" t="s">
        <v>80</v>
      </c>
      <c r="E99" s="27" t="s">
        <v>219</v>
      </c>
      <c r="F99" s="42"/>
      <c r="G99" s="42"/>
      <c r="H99" s="93" t="s">
        <v>58</v>
      </c>
      <c r="I99" s="137" t="s">
        <v>171</v>
      </c>
      <c r="J99" s="137" t="s">
        <v>171</v>
      </c>
      <c r="K99" s="138">
        <v>2</v>
      </c>
      <c r="L99" s="38">
        <v>17697</v>
      </c>
      <c r="M99" s="36">
        <v>0.5</v>
      </c>
      <c r="N99" s="36"/>
      <c r="O99" s="27">
        <v>2.81</v>
      </c>
      <c r="P99" s="38">
        <f>L99*M99*O99</f>
        <v>24864.285</v>
      </c>
      <c r="Q99" s="42"/>
      <c r="R99" s="42"/>
      <c r="S99" s="42"/>
      <c r="T99" s="37">
        <f>IF(H99&gt;0,10%,0)</f>
        <v>0.1</v>
      </c>
      <c r="U99" s="38">
        <f>P99*T99</f>
        <v>2486.4285</v>
      </c>
      <c r="V99" s="42"/>
      <c r="W99" s="42"/>
      <c r="X99" s="42"/>
      <c r="Y99" s="42"/>
      <c r="Z99" s="48"/>
      <c r="AA99" s="36"/>
      <c r="AB99" s="36"/>
      <c r="AC99" s="36"/>
      <c r="AD99" s="36">
        <f t="shared" si="26"/>
        <v>27350.713499999998</v>
      </c>
      <c r="AE99" s="42"/>
      <c r="AF99" s="42"/>
      <c r="AI99" s="6" t="str">
        <f t="shared" si="32"/>
        <v>Вакансия</v>
      </c>
    </row>
    <row r="100" spans="1:41">
      <c r="A100" s="27"/>
      <c r="B100" s="42"/>
      <c r="C100" s="27"/>
      <c r="D100" s="42"/>
      <c r="E100" s="116"/>
      <c r="F100" s="42"/>
      <c r="G100" s="42"/>
      <c r="H100" s="42"/>
      <c r="I100" s="42"/>
      <c r="J100" s="42"/>
      <c r="K100" s="159"/>
      <c r="L100" s="42"/>
      <c r="M100" s="36"/>
      <c r="N100" s="27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</row>
    <row r="101" spans="1:41" ht="32.25" customHeight="1" thickBot="1">
      <c r="A101" s="160" t="s">
        <v>220</v>
      </c>
      <c r="B101" s="161"/>
      <c r="C101" s="161"/>
      <c r="D101" s="162"/>
      <c r="E101" s="163"/>
      <c r="F101" s="163"/>
      <c r="G101" s="163"/>
      <c r="H101" s="163"/>
      <c r="I101" s="163"/>
      <c r="J101" s="163"/>
      <c r="K101" s="164"/>
      <c r="L101" s="163"/>
      <c r="M101" s="165">
        <f>SUM(M73:M100)</f>
        <v>20.5</v>
      </c>
      <c r="N101" s="165"/>
      <c r="O101" s="165"/>
      <c r="P101" s="165">
        <f>SUM(P73:P100)</f>
        <v>1034655.1049999999</v>
      </c>
      <c r="Q101" s="165">
        <f>SUM(Q73:Q97)</f>
        <v>0</v>
      </c>
      <c r="R101" s="165">
        <f>SUM(R73:R97)</f>
        <v>0</v>
      </c>
      <c r="S101" s="165"/>
      <c r="T101" s="165"/>
      <c r="U101" s="165">
        <f>SUM(U73:U100)</f>
        <v>103465.51049999999</v>
      </c>
      <c r="V101" s="165"/>
      <c r="W101" s="165"/>
      <c r="X101" s="165"/>
      <c r="Y101" s="165"/>
      <c r="Z101" s="165"/>
      <c r="AA101" s="166">
        <f>SUM(AA73:AA100)</f>
        <v>87306.863264342988</v>
      </c>
      <c r="AB101" s="165"/>
      <c r="AC101" s="165"/>
      <c r="AD101" s="165">
        <f>SUM(AD73:AD100)</f>
        <v>1225427.4787643431</v>
      </c>
      <c r="AE101" s="200">
        <f>ROUND(SUM(AE73:AE97),2)</f>
        <v>261414.05</v>
      </c>
      <c r="AF101" s="200">
        <f>ROUND(SUM(AF73:AF97),2)</f>
        <v>400559.07</v>
      </c>
      <c r="AI101" s="60" t="s">
        <v>221</v>
      </c>
      <c r="AJ101" s="61">
        <f>SUM(AJ73:AJ97)</f>
        <v>14.5</v>
      </c>
      <c r="AK101" s="61">
        <f>SUM(AK73:AK97)</f>
        <v>716674.55150956206</v>
      </c>
      <c r="AL101" s="20"/>
      <c r="AM101" s="60" t="s">
        <v>222</v>
      </c>
      <c r="AN101" s="61">
        <f>SUM(AN73:AN97)</f>
        <v>0</v>
      </c>
      <c r="AO101" s="61">
        <f>SUM(AO73:AO97)</f>
        <v>0</v>
      </c>
    </row>
    <row r="102" spans="1:41" ht="34.5" customHeight="1" thickBot="1">
      <c r="A102" s="167" t="s">
        <v>223</v>
      </c>
      <c r="B102" s="168"/>
      <c r="C102" s="168"/>
      <c r="D102" s="169"/>
      <c r="E102" s="170"/>
      <c r="F102" s="170"/>
      <c r="G102" s="170"/>
      <c r="H102" s="170"/>
      <c r="I102" s="170"/>
      <c r="J102" s="170"/>
      <c r="K102" s="171"/>
      <c r="L102" s="170"/>
      <c r="M102" s="172">
        <f t="shared" ref="M102:S102" si="36">M13+M72+M101</f>
        <v>85</v>
      </c>
      <c r="N102" s="172">
        <f t="shared" si="36"/>
        <v>0</v>
      </c>
      <c r="O102" s="172">
        <f t="shared" si="36"/>
        <v>0</v>
      </c>
      <c r="P102" s="172">
        <f t="shared" si="36"/>
        <v>5561636.1950000003</v>
      </c>
      <c r="Q102" s="172">
        <f t="shared" si="36"/>
        <v>0</v>
      </c>
      <c r="R102" s="172">
        <f t="shared" si="36"/>
        <v>0</v>
      </c>
      <c r="S102" s="172">
        <f t="shared" si="36"/>
        <v>5063155.9474999988</v>
      </c>
      <c r="T102" s="172"/>
      <c r="U102" s="172">
        <f>U13+U72+U101</f>
        <v>724935.48374999955</v>
      </c>
      <c r="V102" s="172">
        <f>V13+V72+V101</f>
        <v>1687718.6524999999</v>
      </c>
      <c r="W102" s="172">
        <f>W13+W72+W101</f>
        <v>168771.86125000005</v>
      </c>
      <c r="X102" s="172">
        <f>X13+X72+X101</f>
        <v>354245.27625</v>
      </c>
      <c r="Y102" s="172">
        <f>Y13+Y72+Y101</f>
        <v>0</v>
      </c>
      <c r="Z102" s="172"/>
      <c r="AA102" s="172">
        <f>AA13+AA72+AA101</f>
        <v>164288.81326434301</v>
      </c>
      <c r="AB102" s="172">
        <f>AB72</f>
        <v>156618.45000000001</v>
      </c>
      <c r="AC102" s="172">
        <f>AC72</f>
        <v>78680.861999999994</v>
      </c>
      <c r="AD102" s="172">
        <f>AD13+AD72+AD101</f>
        <v>8377417.8465143405</v>
      </c>
      <c r="AE102" s="173">
        <f>ROUND(AE13+AE72+AE101,2)</f>
        <v>389403.7</v>
      </c>
      <c r="AF102" s="173">
        <f>ROUND(AF13+AF72+AF101,2)</f>
        <v>1126668.67</v>
      </c>
      <c r="AI102" s="174" t="s">
        <v>224</v>
      </c>
      <c r="AJ102" s="36">
        <f>AJ13+AJ72+AJ101</f>
        <v>16.5</v>
      </c>
      <c r="AK102" s="36">
        <f>AK13+AK72+AK101</f>
        <v>901997.53250956209</v>
      </c>
      <c r="AL102" s="87"/>
      <c r="AM102" s="174" t="s">
        <v>225</v>
      </c>
      <c r="AN102" s="36">
        <f>AN13+AN72+AN101</f>
        <v>2.5</v>
      </c>
      <c r="AO102" s="36">
        <f>AO13+AO72+AO101</f>
        <v>352679.09324999998</v>
      </c>
    </row>
    <row r="103" spans="1:41">
      <c r="A103" s="92"/>
      <c r="B103" s="92"/>
      <c r="C103" s="92"/>
      <c r="D103" s="92"/>
      <c r="E103" s="95"/>
      <c r="F103" s="92"/>
      <c r="G103" s="92"/>
      <c r="H103" s="92"/>
      <c r="I103" s="92"/>
      <c r="J103" s="92"/>
      <c r="K103" s="175"/>
      <c r="L103" s="92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I103" s="2"/>
      <c r="AJ103" s="2"/>
      <c r="AK103" s="2"/>
      <c r="AL103" s="2"/>
      <c r="AM103" s="2"/>
      <c r="AN103" s="2"/>
      <c r="AO103" s="2"/>
    </row>
    <row r="104" spans="1:41" ht="30">
      <c r="B104" s="2" t="s">
        <v>226</v>
      </c>
      <c r="C104" s="176"/>
      <c r="D104" s="176"/>
      <c r="E104" s="177"/>
      <c r="F104" s="92"/>
      <c r="G104" s="92"/>
      <c r="H104" s="92"/>
      <c r="K104" s="176" t="s">
        <v>34</v>
      </c>
      <c r="L104" s="176"/>
      <c r="M104" s="178"/>
      <c r="N104" s="179"/>
      <c r="O104" s="88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20"/>
      <c r="AF104" s="20"/>
      <c r="AI104" s="2"/>
      <c r="AJ104" s="2"/>
      <c r="AK104" s="2"/>
      <c r="AL104" s="2"/>
      <c r="AM104" s="2"/>
      <c r="AN104" s="2"/>
      <c r="AO104" s="2"/>
    </row>
    <row r="105" spans="1:41" ht="30">
      <c r="C105" s="181" t="s">
        <v>227</v>
      </c>
      <c r="D105" s="181"/>
      <c r="E105" s="181"/>
      <c r="F105" s="92"/>
      <c r="G105" s="92"/>
      <c r="H105" s="92"/>
      <c r="I105" s="1"/>
      <c r="J105" s="1"/>
      <c r="K105" s="182" t="s">
        <v>228</v>
      </c>
      <c r="L105" s="182"/>
      <c r="M105" s="10"/>
      <c r="O105" s="6"/>
      <c r="P105" s="183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184"/>
      <c r="AB105" s="184"/>
      <c r="AC105" s="184"/>
      <c r="AD105" s="20"/>
      <c r="AE105" s="20"/>
      <c r="AF105" s="20"/>
      <c r="AI105" s="87"/>
      <c r="AJ105" s="87"/>
      <c r="AK105" s="87"/>
      <c r="AL105" s="87"/>
      <c r="AM105" s="11" t="s">
        <v>229</v>
      </c>
      <c r="AN105" s="36" t="s">
        <v>230</v>
      </c>
      <c r="AO105" s="36" t="s">
        <v>4</v>
      </c>
    </row>
    <row r="106" spans="1:41">
      <c r="E106" s="113"/>
      <c r="F106" s="1"/>
      <c r="G106" s="1"/>
      <c r="H106" s="1"/>
      <c r="I106" s="1"/>
      <c r="J106" s="1"/>
      <c r="K106" s="175"/>
      <c r="L106" s="92"/>
      <c r="O106" s="6"/>
      <c r="P106" s="6"/>
      <c r="Q106" s="6"/>
      <c r="R106" s="6"/>
      <c r="S106" s="6"/>
      <c r="T106" s="6"/>
      <c r="U106" s="20"/>
      <c r="V106" s="20"/>
      <c r="W106" s="20"/>
      <c r="X106" s="20"/>
      <c r="Y106" s="20"/>
      <c r="Z106" s="20"/>
      <c r="AA106" s="184"/>
      <c r="AB106" s="184"/>
      <c r="AC106" s="184"/>
      <c r="AD106" s="20"/>
      <c r="AE106" s="20"/>
      <c r="AF106" s="20"/>
      <c r="AI106" s="2"/>
      <c r="AK106" s="20"/>
      <c r="AM106" s="12"/>
      <c r="AN106" s="65">
        <f>AJ102+AN102</f>
        <v>19</v>
      </c>
      <c r="AO106" s="65">
        <f>AK102+AO102</f>
        <v>1254676.625759562</v>
      </c>
    </row>
    <row r="107" spans="1:41" ht="30">
      <c r="B107" s="2" t="s">
        <v>46</v>
      </c>
      <c r="C107" s="176"/>
      <c r="D107" s="176"/>
      <c r="E107" s="177"/>
      <c r="F107" s="92"/>
      <c r="G107" s="92"/>
      <c r="H107" s="92"/>
      <c r="K107" s="176" t="s">
        <v>231</v>
      </c>
      <c r="L107" s="176"/>
      <c r="M107" s="178"/>
      <c r="AD107" s="5"/>
      <c r="AE107" s="5"/>
      <c r="AF107" s="5"/>
      <c r="AI107" s="5"/>
      <c r="AJ107" s="2"/>
      <c r="AK107" s="5"/>
      <c r="AL107" s="5"/>
      <c r="AM107" s="5"/>
      <c r="AN107" s="184"/>
      <c r="AO107" s="184"/>
    </row>
    <row r="108" spans="1:41" ht="30">
      <c r="C108" s="181" t="s">
        <v>227</v>
      </c>
      <c r="D108" s="181"/>
      <c r="E108" s="181"/>
      <c r="F108" s="92"/>
      <c r="G108" s="92"/>
      <c r="H108" s="92"/>
      <c r="K108" s="182" t="s">
        <v>228</v>
      </c>
      <c r="L108" s="182"/>
      <c r="M108" s="10"/>
      <c r="U108" s="184"/>
      <c r="V108" s="184"/>
      <c r="W108" s="184"/>
      <c r="X108" s="184"/>
      <c r="Y108" s="184"/>
      <c r="AI108" s="5"/>
      <c r="AJ108" s="5"/>
      <c r="AK108" s="5"/>
      <c r="AL108" s="5"/>
      <c r="AM108" s="43" t="s">
        <v>232</v>
      </c>
      <c r="AN108" s="65">
        <f>M102</f>
        <v>85</v>
      </c>
      <c r="AO108" s="65">
        <f>AD102</f>
        <v>8377417.8465143405</v>
      </c>
    </row>
    <row r="109" spans="1:41">
      <c r="B109" s="185"/>
      <c r="AI109" s="20"/>
      <c r="AJ109" s="20"/>
      <c r="AK109" s="20"/>
      <c r="AL109" s="20"/>
      <c r="AM109" s="20"/>
      <c r="AN109" s="88"/>
      <c r="AO109" s="88"/>
    </row>
    <row r="110" spans="1:41">
      <c r="B110" s="186" t="s">
        <v>233</v>
      </c>
      <c r="AD110" s="5"/>
      <c r="AE110" s="5"/>
      <c r="AF110" s="5"/>
      <c r="AI110" s="88"/>
      <c r="AN110" s="20"/>
    </row>
    <row r="111" spans="1:41">
      <c r="M111" s="187"/>
      <c r="P111" s="5"/>
      <c r="Q111" s="5"/>
      <c r="R111" s="5"/>
      <c r="S111" s="5"/>
      <c r="T111" s="5"/>
      <c r="U111" s="5"/>
      <c r="V111" s="5"/>
      <c r="W111" s="5"/>
      <c r="X111" s="5"/>
      <c r="Y111" s="5"/>
      <c r="AK111" s="20"/>
      <c r="AM111" s="43" t="s">
        <v>234</v>
      </c>
      <c r="AN111" s="65">
        <f>AN106-AN108</f>
        <v>-66</v>
      </c>
      <c r="AO111" s="65">
        <f>AO106-AO108</f>
        <v>-7122741.220754778</v>
      </c>
    </row>
    <row r="112" spans="1:41">
      <c r="D112" s="5"/>
    </row>
    <row r="113" spans="1:52">
      <c r="I113" s="188"/>
      <c r="J113" s="188"/>
      <c r="M113" s="187"/>
    </row>
    <row r="116" spans="1:52" s="4" customFormat="1">
      <c r="A116" s="1"/>
      <c r="B116" s="2"/>
      <c r="C116" s="1"/>
      <c r="D116" s="2"/>
      <c r="E116" s="189"/>
      <c r="F116" s="190"/>
      <c r="G116" s="190"/>
      <c r="H116" s="190"/>
      <c r="I116" s="2"/>
      <c r="J116" s="2"/>
      <c r="L116" s="2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6"/>
      <c r="AJ116" s="6"/>
      <c r="AK116" s="6"/>
      <c r="AL116" s="6"/>
      <c r="AM116" s="6"/>
      <c r="AN116" s="6"/>
      <c r="AO116" s="6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s="4" customFormat="1">
      <c r="A117" s="1"/>
      <c r="B117" s="2"/>
      <c r="C117" s="1"/>
      <c r="D117" s="2"/>
      <c r="E117" s="189"/>
      <c r="F117" s="190"/>
      <c r="G117" s="190"/>
      <c r="H117" s="190"/>
      <c r="I117" s="2"/>
      <c r="J117" s="2"/>
      <c r="L117" s="2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6"/>
      <c r="AJ117" s="6"/>
      <c r="AK117" s="6"/>
      <c r="AL117" s="6"/>
      <c r="AM117" s="6"/>
      <c r="AN117" s="6"/>
      <c r="AO117" s="6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s="4" customFormat="1">
      <c r="A118" s="1"/>
      <c r="B118" s="2"/>
      <c r="C118" s="1"/>
      <c r="D118" s="2"/>
      <c r="E118" s="189"/>
      <c r="F118" s="190"/>
      <c r="G118" s="190"/>
      <c r="H118" s="190"/>
      <c r="I118" s="2"/>
      <c r="J118" s="2"/>
      <c r="L118" s="2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6"/>
      <c r="AJ118" s="6"/>
      <c r="AK118" s="6"/>
      <c r="AL118" s="6"/>
      <c r="AM118" s="6"/>
      <c r="AN118" s="6"/>
      <c r="AO118" s="6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s="4" customFormat="1">
      <c r="A119" s="1"/>
      <c r="B119" s="2"/>
      <c r="C119" s="1"/>
      <c r="D119" s="2"/>
      <c r="E119" s="189"/>
      <c r="F119" s="190"/>
      <c r="G119" s="190"/>
      <c r="H119" s="190"/>
      <c r="I119" s="2"/>
      <c r="J119" s="2"/>
      <c r="L119" s="2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6"/>
      <c r="AJ119" s="6"/>
      <c r="AK119" s="6"/>
      <c r="AL119" s="6"/>
      <c r="AM119" s="6"/>
      <c r="AN119" s="6"/>
      <c r="AO119" s="6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s="4" customFormat="1">
      <c r="A120" s="1"/>
      <c r="B120" s="2"/>
      <c r="C120" s="1"/>
      <c r="D120" s="2"/>
      <c r="E120" s="189"/>
      <c r="F120" s="190"/>
      <c r="G120" s="190"/>
      <c r="H120" s="190"/>
      <c r="I120" s="188"/>
      <c r="J120" s="188"/>
      <c r="L120" s="2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6"/>
      <c r="AJ120" s="6"/>
      <c r="AK120" s="6"/>
      <c r="AL120" s="6"/>
      <c r="AM120" s="6"/>
      <c r="AN120" s="6"/>
      <c r="AO120" s="6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s="4" customFormat="1">
      <c r="A121" s="1"/>
      <c r="B121" s="2"/>
      <c r="C121" s="1"/>
      <c r="D121" s="2"/>
      <c r="E121" s="189"/>
      <c r="F121" s="190"/>
      <c r="G121" s="190"/>
      <c r="H121" s="190"/>
      <c r="I121" s="2"/>
      <c r="J121" s="2"/>
      <c r="L121" s="2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6"/>
      <c r="AJ121" s="6"/>
      <c r="AK121" s="6"/>
      <c r="AL121" s="6"/>
      <c r="AM121" s="6"/>
      <c r="AN121" s="6"/>
      <c r="AO121" s="6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s="4" customFormat="1">
      <c r="A122" s="1"/>
      <c r="B122" s="2"/>
      <c r="C122" s="1"/>
      <c r="D122" s="2"/>
      <c r="E122" s="3"/>
      <c r="F122" s="2"/>
      <c r="G122" s="2"/>
      <c r="H122" s="2"/>
      <c r="I122" s="188"/>
      <c r="J122" s="188"/>
      <c r="L122" s="2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6"/>
      <c r="AJ122" s="6"/>
      <c r="AK122" s="6"/>
      <c r="AL122" s="6"/>
      <c r="AM122" s="6"/>
      <c r="AN122" s="6"/>
      <c r="AO122" s="6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</sheetData>
  <mergeCells count="53">
    <mergeCell ref="AM105:AM106"/>
    <mergeCell ref="AK5:AK6"/>
    <mergeCell ref="AJ5:AJ6"/>
    <mergeCell ref="AI5:AI6"/>
    <mergeCell ref="C105:E105"/>
    <mergeCell ref="K105:M105"/>
    <mergeCell ref="C107:D107"/>
    <mergeCell ref="K107:M107"/>
    <mergeCell ref="C108:E108"/>
    <mergeCell ref="K108:M108"/>
    <mergeCell ref="A13:D13"/>
    <mergeCell ref="A72:D72"/>
    <mergeCell ref="A101:D101"/>
    <mergeCell ref="A102:D102"/>
    <mergeCell ref="C104:D104"/>
    <mergeCell ref="K104:M104"/>
    <mergeCell ref="AI7:AI8"/>
    <mergeCell ref="AJ7:AJ8"/>
    <mergeCell ref="AK7:AK8"/>
    <mergeCell ref="AM7:AM8"/>
    <mergeCell ref="AN7:AN8"/>
    <mergeCell ref="AO7:AO8"/>
    <mergeCell ref="Z7:AA7"/>
    <mergeCell ref="AB7:AB8"/>
    <mergeCell ref="AC7:AC8"/>
    <mergeCell ref="AD7:AD8"/>
    <mergeCell ref="AE7:AE8"/>
    <mergeCell ref="AF7:AF8"/>
    <mergeCell ref="N7:N8"/>
    <mergeCell ref="O7:O8"/>
    <mergeCell ref="P7:P8"/>
    <mergeCell ref="Q7:R7"/>
    <mergeCell ref="S7:S8"/>
    <mergeCell ref="T7:U7"/>
    <mergeCell ref="H7:H8"/>
    <mergeCell ref="I7:I8"/>
    <mergeCell ref="J7:J8"/>
    <mergeCell ref="K7:K8"/>
    <mergeCell ref="L7:L8"/>
    <mergeCell ref="M7:M8"/>
    <mergeCell ref="AM5:AM6"/>
    <mergeCell ref="AN5:AN6"/>
    <mergeCell ref="AO5:AO6"/>
    <mergeCell ref="A7:A8"/>
    <mergeCell ref="B7:B8"/>
    <mergeCell ref="C7:C8"/>
    <mergeCell ref="D7:D8"/>
    <mergeCell ref="E7:E8"/>
    <mergeCell ref="F7:F8"/>
    <mergeCell ref="G7:G8"/>
    <mergeCell ref="A2:AD2"/>
    <mergeCell ref="A3:AD3"/>
    <mergeCell ref="T5:U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2021-07-02T14:03:31Z</dcterms:modified>
</cp:coreProperties>
</file>